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75" windowWidth="15480" windowHeight="9150"/>
  </bookViews>
  <sheets>
    <sheet name="รายได้" sheetId="7" r:id="rId1"/>
    <sheet name="รายจ่าย" sheetId="8" r:id="rId2"/>
  </sheets>
  <calcPr calcId="145621"/>
</workbook>
</file>

<file path=xl/calcChain.xml><?xml version="1.0" encoding="utf-8"?>
<calcChain xmlns="http://schemas.openxmlformats.org/spreadsheetml/2006/main">
  <c r="Q28" i="8" l="1"/>
  <c r="Q22" i="8"/>
  <c r="Q21" i="8"/>
  <c r="Q23" i="7"/>
  <c r="P21" i="8"/>
  <c r="P23" i="7"/>
  <c r="O21" i="8"/>
  <c r="O23" i="7"/>
  <c r="N15" i="8"/>
  <c r="M22" i="8"/>
  <c r="M21" i="8"/>
  <c r="M23" i="7"/>
  <c r="L27" i="8"/>
  <c r="L21" i="8"/>
  <c r="L23" i="7"/>
  <c r="K21" i="8"/>
  <c r="K22" i="8"/>
  <c r="K23" i="7"/>
  <c r="I21" i="8"/>
  <c r="I23" i="7"/>
  <c r="H22" i="8"/>
  <c r="H21" i="8"/>
  <c r="H23" i="7"/>
  <c r="G24" i="8"/>
  <c r="G22" i="8"/>
  <c r="G21" i="8"/>
  <c r="G23" i="7"/>
  <c r="E21" i="8"/>
  <c r="F21" i="8" s="1"/>
  <c r="E23" i="7"/>
  <c r="D22" i="8"/>
  <c r="D23" i="7"/>
  <c r="D19" i="7" s="1"/>
  <c r="C23" i="7"/>
  <c r="D16" i="8"/>
  <c r="J23" i="7"/>
  <c r="D24" i="7"/>
  <c r="C9" i="8"/>
  <c r="C8" i="8" s="1"/>
  <c r="D9" i="8"/>
  <c r="D8" i="8" s="1"/>
  <c r="E9" i="8"/>
  <c r="E8" i="8" s="1"/>
  <c r="G9" i="8"/>
  <c r="G8" i="8" s="1"/>
  <c r="H9" i="8"/>
  <c r="H8" i="8" s="1"/>
  <c r="I9" i="8"/>
  <c r="I8" i="8" s="1"/>
  <c r="K9" i="8"/>
  <c r="K8" i="8" s="1"/>
  <c r="L9" i="8"/>
  <c r="L8" i="8" s="1"/>
  <c r="M9" i="8"/>
  <c r="M8" i="8" s="1"/>
  <c r="O9" i="8"/>
  <c r="O8" i="8" s="1"/>
  <c r="P9" i="8"/>
  <c r="P8" i="8" s="1"/>
  <c r="Q9" i="8"/>
  <c r="Q8" i="8" s="1"/>
  <c r="F10" i="8"/>
  <c r="J10" i="8"/>
  <c r="N10" i="8"/>
  <c r="R10" i="8"/>
  <c r="F11" i="8"/>
  <c r="J11" i="8"/>
  <c r="N11" i="8"/>
  <c r="R11" i="8"/>
  <c r="F12" i="8"/>
  <c r="J12" i="8"/>
  <c r="N12" i="8"/>
  <c r="R12" i="8"/>
  <c r="F13" i="8"/>
  <c r="J13" i="8"/>
  <c r="N13" i="8"/>
  <c r="R13" i="8"/>
  <c r="F14" i="8"/>
  <c r="J14" i="8"/>
  <c r="N14" i="8"/>
  <c r="R14" i="8"/>
  <c r="F15" i="8"/>
  <c r="J15" i="8"/>
  <c r="R15" i="8"/>
  <c r="C16" i="8"/>
  <c r="E16" i="8"/>
  <c r="G16" i="8"/>
  <c r="H16" i="8"/>
  <c r="I16" i="8"/>
  <c r="K16" i="8"/>
  <c r="L16" i="8"/>
  <c r="M16" i="8"/>
  <c r="O16" i="8"/>
  <c r="P16" i="8"/>
  <c r="Q16" i="8"/>
  <c r="F17" i="8"/>
  <c r="J17" i="8"/>
  <c r="N17" i="8"/>
  <c r="R17" i="8"/>
  <c r="F18" i="8"/>
  <c r="J18" i="8"/>
  <c r="N18" i="8"/>
  <c r="R18" i="8"/>
  <c r="F19" i="8"/>
  <c r="J19" i="8"/>
  <c r="N19" i="8"/>
  <c r="R19" i="8"/>
  <c r="F20" i="8"/>
  <c r="J20" i="8"/>
  <c r="N20" i="8"/>
  <c r="R20" i="8"/>
  <c r="J21" i="8"/>
  <c r="N21" i="8"/>
  <c r="R21" i="8"/>
  <c r="F22" i="8"/>
  <c r="J22" i="8"/>
  <c r="N22" i="8"/>
  <c r="R22" i="8"/>
  <c r="F23" i="8"/>
  <c r="J23" i="8"/>
  <c r="N23" i="8"/>
  <c r="R23" i="8"/>
  <c r="F24" i="8"/>
  <c r="J24" i="8"/>
  <c r="N24" i="8"/>
  <c r="R24" i="8"/>
  <c r="F25" i="8"/>
  <c r="J25" i="8"/>
  <c r="N25" i="8"/>
  <c r="R25" i="8"/>
  <c r="C26" i="8"/>
  <c r="D26" i="8"/>
  <c r="E26" i="8"/>
  <c r="G26" i="8"/>
  <c r="H26" i="8"/>
  <c r="I26" i="8"/>
  <c r="K26" i="8"/>
  <c r="L26" i="8"/>
  <c r="M26" i="8"/>
  <c r="O26" i="8"/>
  <c r="P26" i="8"/>
  <c r="Q26" i="8"/>
  <c r="F27" i="8"/>
  <c r="J27" i="8"/>
  <c r="N27" i="8"/>
  <c r="R27" i="8"/>
  <c r="F28" i="8"/>
  <c r="J28" i="8"/>
  <c r="N28" i="8"/>
  <c r="R28" i="8"/>
  <c r="F29" i="8"/>
  <c r="J29" i="8"/>
  <c r="N29" i="8"/>
  <c r="R29" i="8"/>
  <c r="F33" i="8"/>
  <c r="J33" i="8"/>
  <c r="N33" i="8"/>
  <c r="R33" i="8"/>
  <c r="F34" i="8"/>
  <c r="J34" i="8"/>
  <c r="N34" i="8"/>
  <c r="R34" i="8"/>
  <c r="C35" i="8"/>
  <c r="C32" i="8" s="1"/>
  <c r="D35" i="8"/>
  <c r="D32" i="8" s="1"/>
  <c r="E35" i="8"/>
  <c r="E32" i="8" s="1"/>
  <c r="G35" i="8"/>
  <c r="G32" i="8" s="1"/>
  <c r="H35" i="8"/>
  <c r="H32" i="8" s="1"/>
  <c r="I35" i="8"/>
  <c r="I32" i="8" s="1"/>
  <c r="K35" i="8"/>
  <c r="K32" i="8" s="1"/>
  <c r="L35" i="8"/>
  <c r="L32" i="8" s="1"/>
  <c r="M35" i="8"/>
  <c r="M32" i="8" s="1"/>
  <c r="O35" i="8"/>
  <c r="O32" i="8" s="1"/>
  <c r="P35" i="8"/>
  <c r="P32" i="8" s="1"/>
  <c r="Q35" i="8"/>
  <c r="Q32" i="8" s="1"/>
  <c r="F36" i="8"/>
  <c r="J36" i="8"/>
  <c r="N36" i="8"/>
  <c r="R36" i="8"/>
  <c r="F37" i="8"/>
  <c r="J37" i="8"/>
  <c r="N37" i="8"/>
  <c r="S37" i="8" s="1"/>
  <c r="R37" i="8"/>
  <c r="F38" i="8"/>
  <c r="J38" i="8"/>
  <c r="N38" i="8"/>
  <c r="R38" i="8"/>
  <c r="C39" i="8"/>
  <c r="D39" i="8"/>
  <c r="E39" i="8"/>
  <c r="G39" i="8"/>
  <c r="H39" i="8"/>
  <c r="I39" i="8"/>
  <c r="K39" i="8"/>
  <c r="L39" i="8"/>
  <c r="M39" i="8"/>
  <c r="O39" i="8"/>
  <c r="P39" i="8"/>
  <c r="Q39" i="8"/>
  <c r="F40" i="8"/>
  <c r="J40" i="8"/>
  <c r="N40" i="8"/>
  <c r="R40" i="8"/>
  <c r="F41" i="8"/>
  <c r="J41" i="8"/>
  <c r="N41" i="8"/>
  <c r="R41" i="8"/>
  <c r="F42" i="8"/>
  <c r="J42" i="8"/>
  <c r="N42" i="8"/>
  <c r="R42" i="8"/>
  <c r="F43" i="8"/>
  <c r="J43" i="8"/>
  <c r="N43" i="8"/>
  <c r="R43" i="8"/>
  <c r="C9" i="7"/>
  <c r="D9" i="7"/>
  <c r="E9" i="7"/>
  <c r="G9" i="7"/>
  <c r="H9" i="7"/>
  <c r="I9" i="7"/>
  <c r="K9" i="7"/>
  <c r="L9" i="7"/>
  <c r="M9" i="7"/>
  <c r="O9" i="7"/>
  <c r="P9" i="7"/>
  <c r="Q9" i="7"/>
  <c r="F10" i="7"/>
  <c r="J10" i="7"/>
  <c r="N10" i="7"/>
  <c r="R10" i="7"/>
  <c r="F11" i="7"/>
  <c r="J11" i="7"/>
  <c r="N11" i="7"/>
  <c r="R11" i="7"/>
  <c r="F12" i="7"/>
  <c r="J12" i="7"/>
  <c r="N12" i="7"/>
  <c r="R12" i="7"/>
  <c r="F13" i="7"/>
  <c r="J13" i="7"/>
  <c r="N13" i="7"/>
  <c r="R13" i="7"/>
  <c r="S13" i="7" s="1"/>
  <c r="F14" i="7"/>
  <c r="J14" i="7"/>
  <c r="N14" i="7"/>
  <c r="R14" i="7"/>
  <c r="F15" i="7"/>
  <c r="J15" i="7"/>
  <c r="S15" i="7" s="1"/>
  <c r="N15" i="7"/>
  <c r="R15" i="7"/>
  <c r="F16" i="7"/>
  <c r="J16" i="7"/>
  <c r="N16" i="7"/>
  <c r="R16" i="7"/>
  <c r="F17" i="7"/>
  <c r="J17" i="7"/>
  <c r="N17" i="7"/>
  <c r="R17" i="7"/>
  <c r="S17" i="7"/>
  <c r="C19" i="7"/>
  <c r="E19" i="7"/>
  <c r="G19" i="7"/>
  <c r="H19" i="7"/>
  <c r="I19" i="7"/>
  <c r="K19" i="7"/>
  <c r="L19" i="7"/>
  <c r="M19" i="7"/>
  <c r="O19" i="7"/>
  <c r="P19" i="7"/>
  <c r="Q19" i="7"/>
  <c r="F20" i="7"/>
  <c r="J20" i="7"/>
  <c r="N20" i="7"/>
  <c r="R20" i="7"/>
  <c r="F21" i="7"/>
  <c r="J21" i="7"/>
  <c r="N21" i="7"/>
  <c r="R21" i="7"/>
  <c r="F22" i="7"/>
  <c r="J22" i="7"/>
  <c r="N22" i="7"/>
  <c r="R22" i="7"/>
  <c r="F23" i="7"/>
  <c r="N23" i="7"/>
  <c r="R23" i="7"/>
  <c r="C24" i="7"/>
  <c r="E24" i="7"/>
  <c r="G24" i="7"/>
  <c r="H24" i="7"/>
  <c r="I24" i="7"/>
  <c r="K24" i="7"/>
  <c r="L24" i="7"/>
  <c r="M24" i="7"/>
  <c r="O24" i="7"/>
  <c r="P24" i="7"/>
  <c r="Q24" i="7"/>
  <c r="F25" i="7"/>
  <c r="J25" i="7"/>
  <c r="N25" i="7"/>
  <c r="R25" i="7"/>
  <c r="F26" i="7"/>
  <c r="J26" i="7"/>
  <c r="N26" i="7"/>
  <c r="R26" i="7"/>
  <c r="F27" i="7"/>
  <c r="J27" i="7"/>
  <c r="N27" i="7"/>
  <c r="R27" i="7"/>
  <c r="F28" i="7"/>
  <c r="J28" i="7"/>
  <c r="N28" i="7"/>
  <c r="R28" i="7"/>
  <c r="C29" i="7"/>
  <c r="D29" i="7"/>
  <c r="E29" i="7"/>
  <c r="G29" i="7"/>
  <c r="H29" i="7"/>
  <c r="I29" i="7"/>
  <c r="K29" i="7"/>
  <c r="L29" i="7"/>
  <c r="M29" i="7"/>
  <c r="O29" i="7"/>
  <c r="P29" i="7"/>
  <c r="Q29" i="7"/>
  <c r="F30" i="7"/>
  <c r="J30" i="7"/>
  <c r="N30" i="7"/>
  <c r="R30" i="7"/>
  <c r="F31" i="7"/>
  <c r="J31" i="7"/>
  <c r="N31" i="7"/>
  <c r="R31" i="7"/>
  <c r="C32" i="7"/>
  <c r="D32" i="7"/>
  <c r="E32" i="7"/>
  <c r="G32" i="7"/>
  <c r="H32" i="7"/>
  <c r="I32" i="7"/>
  <c r="K32" i="7"/>
  <c r="L32" i="7"/>
  <c r="M32" i="7"/>
  <c r="O32" i="7"/>
  <c r="P32" i="7"/>
  <c r="Q32" i="7"/>
  <c r="F33" i="7"/>
  <c r="J33" i="7"/>
  <c r="N33" i="7"/>
  <c r="R33" i="7"/>
  <c r="F34" i="7"/>
  <c r="J34" i="7"/>
  <c r="N34" i="7"/>
  <c r="R34" i="7"/>
  <c r="C38" i="7"/>
  <c r="D38" i="7"/>
  <c r="E38" i="7"/>
  <c r="G38" i="7"/>
  <c r="H38" i="7"/>
  <c r="I38" i="7"/>
  <c r="K38" i="7"/>
  <c r="L38" i="7"/>
  <c r="M38" i="7"/>
  <c r="O38" i="7"/>
  <c r="P38" i="7"/>
  <c r="Q38" i="7"/>
  <c r="F39" i="7"/>
  <c r="J39" i="7"/>
  <c r="N39" i="7"/>
  <c r="R39" i="7"/>
  <c r="F40" i="7"/>
  <c r="J40" i="7"/>
  <c r="N40" i="7"/>
  <c r="R40" i="7"/>
  <c r="C41" i="7"/>
  <c r="D41" i="7"/>
  <c r="E41" i="7"/>
  <c r="G41" i="7"/>
  <c r="H41" i="7"/>
  <c r="I41" i="7"/>
  <c r="K41" i="7"/>
  <c r="L41" i="7"/>
  <c r="M41" i="7"/>
  <c r="O41" i="7"/>
  <c r="P41" i="7"/>
  <c r="Q41" i="7"/>
  <c r="F42" i="7"/>
  <c r="J42" i="7"/>
  <c r="N42" i="7"/>
  <c r="R42" i="7"/>
  <c r="F43" i="7"/>
  <c r="J43" i="7"/>
  <c r="N43" i="7"/>
  <c r="R43" i="7"/>
  <c r="F44" i="7"/>
  <c r="J44" i="7"/>
  <c r="N44" i="7"/>
  <c r="R44" i="7"/>
  <c r="F45" i="7"/>
  <c r="J45" i="7"/>
  <c r="N45" i="7"/>
  <c r="R45" i="7"/>
  <c r="F46" i="7"/>
  <c r="J46" i="7"/>
  <c r="N46" i="7"/>
  <c r="R46" i="7"/>
  <c r="F47" i="7"/>
  <c r="J47" i="7"/>
  <c r="N47" i="7"/>
  <c r="R47" i="7"/>
  <c r="F48" i="7"/>
  <c r="J48" i="7"/>
  <c r="N48" i="7"/>
  <c r="R48" i="7"/>
  <c r="C49" i="7"/>
  <c r="D49" i="7"/>
  <c r="E49" i="7"/>
  <c r="G49" i="7"/>
  <c r="H49" i="7"/>
  <c r="I49" i="7"/>
  <c r="K49" i="7"/>
  <c r="L49" i="7"/>
  <c r="M49" i="7"/>
  <c r="O49" i="7"/>
  <c r="P49" i="7"/>
  <c r="Q49" i="7"/>
  <c r="F50" i="7"/>
  <c r="J50" i="7"/>
  <c r="N50" i="7"/>
  <c r="R50" i="7"/>
  <c r="S50" i="7"/>
  <c r="F51" i="7"/>
  <c r="J51" i="7"/>
  <c r="N51" i="7"/>
  <c r="R51" i="7"/>
  <c r="F52" i="7"/>
  <c r="J52" i="7"/>
  <c r="N52" i="7"/>
  <c r="R52" i="7"/>
  <c r="F53" i="7"/>
  <c r="J53" i="7"/>
  <c r="N53" i="7"/>
  <c r="R53" i="7"/>
  <c r="C54" i="7"/>
  <c r="D54" i="7"/>
  <c r="E54" i="7"/>
  <c r="G54" i="7"/>
  <c r="H54" i="7"/>
  <c r="I54" i="7"/>
  <c r="K54" i="7"/>
  <c r="L54" i="7"/>
  <c r="M54" i="7"/>
  <c r="O54" i="7"/>
  <c r="P54" i="7"/>
  <c r="Q54" i="7"/>
  <c r="F55" i="7"/>
  <c r="J55" i="7"/>
  <c r="N55" i="7"/>
  <c r="R55" i="7"/>
  <c r="F56" i="7"/>
  <c r="J56" i="7"/>
  <c r="N56" i="7"/>
  <c r="R56" i="7"/>
  <c r="F58" i="7"/>
  <c r="J58" i="7"/>
  <c r="N58" i="7"/>
  <c r="R58" i="7"/>
  <c r="C59" i="7"/>
  <c r="D59" i="7"/>
  <c r="E59" i="7"/>
  <c r="G59" i="7"/>
  <c r="H59" i="7"/>
  <c r="I59" i="7"/>
  <c r="K59" i="7"/>
  <c r="L59" i="7"/>
  <c r="M59" i="7"/>
  <c r="O59" i="7"/>
  <c r="P59" i="7"/>
  <c r="Q59" i="7"/>
  <c r="F60" i="7"/>
  <c r="J60" i="7"/>
  <c r="N60" i="7"/>
  <c r="R60" i="7"/>
  <c r="F61" i="7"/>
  <c r="J61" i="7"/>
  <c r="N61" i="7"/>
  <c r="R61" i="7"/>
  <c r="F62" i="7"/>
  <c r="J62" i="7"/>
  <c r="S62" i="7" s="1"/>
  <c r="N62" i="7"/>
  <c r="R62" i="7"/>
  <c r="R59" i="7" l="1"/>
  <c r="J59" i="7"/>
  <c r="S58" i="7"/>
  <c r="S40" i="7"/>
  <c r="F32" i="7"/>
  <c r="S31" i="7"/>
  <c r="S27" i="7"/>
  <c r="S14" i="7"/>
  <c r="S40" i="8"/>
  <c r="S29" i="8"/>
  <c r="F26" i="8"/>
  <c r="S13" i="8"/>
  <c r="S60" i="7"/>
  <c r="N59" i="7"/>
  <c r="F59" i="7"/>
  <c r="S39" i="7"/>
  <c r="R38" i="7"/>
  <c r="J38" i="7"/>
  <c r="S34" i="7"/>
  <c r="J29" i="7"/>
  <c r="S41" i="8"/>
  <c r="J26" i="8"/>
  <c r="S25" i="8"/>
  <c r="S11" i="8"/>
  <c r="R26" i="8"/>
  <c r="S52" i="7"/>
  <c r="R24" i="7"/>
  <c r="R16" i="8"/>
  <c r="R49" i="7"/>
  <c r="R41" i="7"/>
  <c r="R32" i="7"/>
  <c r="S27" i="8"/>
  <c r="N26" i="8"/>
  <c r="N54" i="7"/>
  <c r="N49" i="7"/>
  <c r="S49" i="7" s="1"/>
  <c r="N41" i="7"/>
  <c r="N32" i="7"/>
  <c r="N16" i="8"/>
  <c r="S46" i="7"/>
  <c r="S56" i="7"/>
  <c r="S33" i="8"/>
  <c r="S38" i="8"/>
  <c r="S43" i="8"/>
  <c r="S23" i="8"/>
  <c r="S15" i="8"/>
  <c r="S25" i="7"/>
  <c r="S51" i="7"/>
  <c r="S11" i="7"/>
  <c r="S19" i="8"/>
  <c r="J16" i="8"/>
  <c r="S24" i="8"/>
  <c r="F16" i="8"/>
  <c r="S16" i="8" s="1"/>
  <c r="S21" i="8"/>
  <c r="S17" i="8"/>
  <c r="S48" i="7"/>
  <c r="S44" i="7"/>
  <c r="S42" i="7"/>
  <c r="J24" i="7"/>
  <c r="J41" i="7"/>
  <c r="J49" i="7"/>
  <c r="J32" i="7"/>
  <c r="S32" i="7" s="1"/>
  <c r="S33" i="7"/>
  <c r="S23" i="7"/>
  <c r="S21" i="7"/>
  <c r="S43" i="7"/>
  <c r="S47" i="7"/>
  <c r="F41" i="7"/>
  <c r="S41" i="7" s="1"/>
  <c r="F49" i="7"/>
  <c r="S59" i="7"/>
  <c r="S26" i="8"/>
  <c r="L18" i="7"/>
  <c r="R54" i="7"/>
  <c r="F38" i="7"/>
  <c r="N29" i="7"/>
  <c r="S22" i="7"/>
  <c r="K18" i="7"/>
  <c r="N18" i="7" s="1"/>
  <c r="S12" i="7"/>
  <c r="S36" i="8"/>
  <c r="S34" i="8"/>
  <c r="S22" i="8"/>
  <c r="S14" i="8"/>
  <c r="L44" i="8"/>
  <c r="S61" i="7"/>
  <c r="F54" i="7"/>
  <c r="S30" i="7"/>
  <c r="S28" i="7"/>
  <c r="S20" i="7"/>
  <c r="I18" i="7"/>
  <c r="I8" i="7" s="1"/>
  <c r="I57" i="7" s="1"/>
  <c r="I63" i="7" s="1"/>
  <c r="S10" i="7"/>
  <c r="J39" i="8"/>
  <c r="S28" i="8"/>
  <c r="S20" i="8"/>
  <c r="S12" i="8"/>
  <c r="N38" i="7"/>
  <c r="S26" i="7"/>
  <c r="S18" i="8"/>
  <c r="S10" i="8"/>
  <c r="D18" i="7"/>
  <c r="P18" i="7"/>
  <c r="H18" i="7"/>
  <c r="Q18" i="7"/>
  <c r="G18" i="7"/>
  <c r="G8" i="7" s="1"/>
  <c r="R39" i="8"/>
  <c r="H44" i="8"/>
  <c r="S55" i="7"/>
  <c r="S53" i="7"/>
  <c r="S45" i="7"/>
  <c r="E18" i="7"/>
  <c r="E8" i="7" s="1"/>
  <c r="E57" i="7" s="1"/>
  <c r="E63" i="7" s="1"/>
  <c r="F39" i="8"/>
  <c r="R29" i="7"/>
  <c r="N24" i="7"/>
  <c r="F24" i="7"/>
  <c r="S24" i="7" s="1"/>
  <c r="O18" i="7"/>
  <c r="R18" i="7" s="1"/>
  <c r="P44" i="8"/>
  <c r="J54" i="7"/>
  <c r="F29" i="7"/>
  <c r="S29" i="7" s="1"/>
  <c r="M18" i="7"/>
  <c r="C18" i="7"/>
  <c r="C8" i="7" s="1"/>
  <c r="S16" i="7"/>
  <c r="S42" i="8"/>
  <c r="N39" i="8"/>
  <c r="R32" i="8"/>
  <c r="J32" i="8"/>
  <c r="Q44" i="8"/>
  <c r="O44" i="8"/>
  <c r="R8" i="8"/>
  <c r="I44" i="8"/>
  <c r="G44" i="8"/>
  <c r="J8" i="8"/>
  <c r="D44" i="8"/>
  <c r="N32" i="8"/>
  <c r="F32" i="8"/>
  <c r="M44" i="8"/>
  <c r="K44" i="8"/>
  <c r="N8" i="8"/>
  <c r="E44" i="8"/>
  <c r="C44" i="8"/>
  <c r="F8" i="8"/>
  <c r="R35" i="8"/>
  <c r="N35" i="8"/>
  <c r="J35" i="8"/>
  <c r="F35" i="8"/>
  <c r="S35" i="8" s="1"/>
  <c r="R9" i="8"/>
  <c r="N9" i="8"/>
  <c r="J9" i="8"/>
  <c r="F9" i="8"/>
  <c r="Q8" i="7"/>
  <c r="Q57" i="7" s="1"/>
  <c r="Q63" i="7" s="1"/>
  <c r="L8" i="7"/>
  <c r="L57" i="7" s="1"/>
  <c r="L63" i="7" s="1"/>
  <c r="D8" i="7"/>
  <c r="D57" i="7" s="1"/>
  <c r="D63" i="7" s="1"/>
  <c r="F18" i="7"/>
  <c r="P8" i="7"/>
  <c r="P57" i="7" s="1"/>
  <c r="P63" i="7" s="1"/>
  <c r="M8" i="7"/>
  <c r="M57" i="7" s="1"/>
  <c r="M63" i="7" s="1"/>
  <c r="H8" i="7"/>
  <c r="H57" i="7" s="1"/>
  <c r="H63" i="7" s="1"/>
  <c r="R19" i="7"/>
  <c r="N19" i="7"/>
  <c r="J19" i="7"/>
  <c r="F19" i="7"/>
  <c r="R9" i="7"/>
  <c r="N9" i="7"/>
  <c r="J9" i="7"/>
  <c r="F9" i="7"/>
  <c r="K8" i="7" l="1"/>
  <c r="K57" i="7" s="1"/>
  <c r="S38" i="7"/>
  <c r="R44" i="8"/>
  <c r="N44" i="8"/>
  <c r="J44" i="8"/>
  <c r="S39" i="8"/>
  <c r="S54" i="7"/>
  <c r="O8" i="7"/>
  <c r="R8" i="7" s="1"/>
  <c r="J18" i="7"/>
  <c r="S18" i="7" s="1"/>
  <c r="S32" i="8"/>
  <c r="S9" i="8"/>
  <c r="S8" i="8"/>
  <c r="F44" i="8"/>
  <c r="N8" i="7"/>
  <c r="G57" i="7"/>
  <c r="J8" i="7"/>
  <c r="S9" i="7"/>
  <c r="S19" i="7"/>
  <c r="C57" i="7"/>
  <c r="F8" i="7"/>
  <c r="O57" i="7"/>
  <c r="S44" i="8" l="1"/>
  <c r="S8" i="7"/>
  <c r="O63" i="7"/>
  <c r="R63" i="7" s="1"/>
  <c r="R57" i="7"/>
  <c r="C63" i="7"/>
  <c r="F63" i="7" s="1"/>
  <c r="F57" i="7"/>
  <c r="G63" i="7"/>
  <c r="J63" i="7" s="1"/>
  <c r="J57" i="7"/>
  <c r="K63" i="7"/>
  <c r="N63" i="7" s="1"/>
  <c r="N57" i="7"/>
  <c r="S57" i="7" l="1"/>
  <c r="S63" i="7"/>
</calcChain>
</file>

<file path=xl/sharedStrings.xml><?xml version="1.0" encoding="utf-8"?>
<sst xmlns="http://schemas.openxmlformats.org/spreadsheetml/2006/main" count="174" uniqueCount="113">
  <si>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</si>
  <si>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</si>
  <si>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</si>
  <si>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</si>
  <si>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</si>
  <si>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</si>
  <si>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</si>
  <si>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</si>
  <si>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</si>
  <si>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</si>
  <si>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</si>
  <si>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</si>
  <si>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</si>
  <si>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</si>
  <si>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</si>
  <si>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</si>
  <si>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</si>
  <si>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</si>
  <si>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</si>
  <si>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</si>
  <si>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</si>
  <si>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</si>
  <si>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</si>
  <si>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</si>
  <si>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</si>
  <si>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</si>
  <si>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</si>
  <si>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</si>
  <si>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</si>
  <si>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</si>
  <si>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</si>
  <si>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</si>
  <si>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</si>
  <si>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</si>
  <si>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</si>
  <si>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</si>
  <si>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</si>
  <si>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</si>
  <si>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</si>
  <si>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</si>
  <si>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</si>
  <si>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</si>
  <si>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</si>
  <si>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</si>
  <si>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</si>
  <si>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</si>
  <si>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</si>
  <si>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</si>
  <si>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</si>
  <si>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2.1 เงินเดือน</t>
  </si>
  <si>
    <t>2.2 ค่าจ้างประจำ</t>
  </si>
  <si>
    <t>2.3 ค่าจ้างชั่วคราว</t>
  </si>
  <si>
    <t>2.4 ค่าตอบแทน</t>
  </si>
  <si>
    <t>2.5 ค่าใช้สอย</t>
  </si>
  <si>
    <t>2.6 ค่าวัสดุ</t>
  </si>
  <si>
    <t>2.7 หมวดค่าสาธารณูปโภค</t>
  </si>
  <si>
    <t>2.8 หมวดเงินอุดหนุน</t>
  </si>
  <si>
    <t>2.9 หมวดรายจ่ายอื่นๆ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</si>
  <si>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</si>
  <si>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</si>
  <si>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</si>
  <si>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</si>
  <si>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</si>
  <si>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</si>
  <si>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4.2 เงินสะสม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</si>
  <si>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</si>
  <si>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</si>
  <si>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</si>
  <si>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</si>
  <si>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</si>
  <si>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</si>
  <si>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</si>
  <si>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</si>
  <si>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</si>
  <si>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</si>
  <si>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</si>
  <si>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</si>
  <si>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</si>
  <si>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</si>
  <si>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</si>
  <si>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</si>
  <si>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</si>
  <si>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1.1.1 ภาษีโรงเรือนและที่ดิน</t>
  </si>
  <si>
    <t xml:space="preserve">    1.1.2 ภาษีบำรุงท้องที่</t>
  </si>
  <si>
    <t xml:space="preserve">    1.1.3 ภาษีป้าย</t>
  </si>
  <si>
    <t xml:space="preserve">    1.1.4 อากรฆ่าสัตว์</t>
  </si>
  <si>
    <t xml:space="preserve">    1.1.5 อากรรังนกอีแอ่น</t>
  </si>
  <si>
    <t xml:space="preserve">    1.1.6 ภาษีบำรุง อบจ.จากยาสูบ</t>
  </si>
  <si>
    <t xml:space="preserve">    1.1.7 ภาษีบำรุง อบจ.จากน้ำมัน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</si>
  <si>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</si>
  <si>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</si>
  <si>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</si>
  <si>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</si>
  <si>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</si>
  <si>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</si>
  <si>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</si>
  <si>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</si>
  <si>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</si>
  <si>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  6.2 เงินกู้จากกสท. และ กสอ.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</si>
  <si>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</si>
  <si>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</si>
  <si>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</si>
  <si>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</si>
  <si>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</si>
  <si>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</si>
  <si>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 xml:space="preserve">    1.1.8 ค่าธรรมเนียมบำรุง อบจ. จากผู้เข้าพักในโรงแรม</t>
  </si>
  <si>
    <t>บัญชีรายละเอียดรายรับ - จ่ายจริง</t>
  </si>
  <si>
    <t>*** ข้อมูลปีงบประมาณ 2557-2559 ที่ อปท.ยังไม่ได้จัดส่ง ขอความกรุณาใช้แบบฟอร์มเดียวกับปีงบประมาณ 2560</t>
  </si>
  <si>
    <t>องค์การบริหารส่วนตำบลโตนด  อำเภอโนนสูง  จังหวัดนครราชสีมา</t>
  </si>
  <si>
    <r>
      <t xml:space="preserve"> </t>
    </r>
    <r>
      <rPr>
        <sz val="14"/>
        <color indexed="8"/>
        <rFont val="TH SarabunPSK"/>
        <family val="2"/>
      </rPr>
      <t>ตารางรายรับจริง ปีงบประมาณ 2559</t>
    </r>
  </si>
  <si>
    <t>ประจำปีงบประมาณ 2559</t>
  </si>
  <si>
    <r>
      <t xml:space="preserve"> </t>
    </r>
    <r>
      <rPr>
        <sz val="14"/>
        <color indexed="8"/>
        <rFont val="TH SarabunPSK"/>
        <family val="2"/>
      </rPr>
      <t>ตารางรายจ่ายจริง (ตามหมวด) ปีงบประมาณ 2559</t>
    </r>
  </si>
  <si>
    <t>ปีงบประมาณ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</si>
</sst>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i/>
      <sz val="14"/>
      <color indexed="8"/>
      <name val="TH SarabunPSK"/>
      <family val="2"/>
    </font>
    <font>
      <b/>
      <i/>
      <sz val="14"/>
      <name val="TH SarabunPSK"/>
      <family val="2"/>
    </font>
    <font>
      <i/>
      <sz val="14"/>
      <color indexed="8"/>
      <name val="TH SarabunPSK"/>
      <family val="2"/>
    </font>
    <font>
      <sz val="14"/>
      <color indexed="63"/>
      <name val="TH SarabunPSK"/>
      <family val="2"/>
    </font>
    <font>
      <b/>
      <sz val="14"/>
      <color indexed="63"/>
      <name val="TH SarabunPSK"/>
      <family val="2"/>
    </font>
    <font>
      <b/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1" fillId="0" borderId="0" xfId="0" applyFont="1" applyBorder="1" applyAlignment="1">
      <alignment horizontal="center" readingOrder="1"/>
    </xf>
    <xf numFmtId="0" fontId="3" fillId="0" borderId="0" xfId="0" applyFont="1" applyBorder="1" applyAlignment="1">
      <alignment horizontal="center" readingOrder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2" borderId="0" xfId="0" applyFont="1" applyFill="1" applyAlignment="1"/>
    <xf numFmtId="4" fontId="4" fillId="4" borderId="2" xfId="0" applyNumberFormat="1" applyFont="1" applyFill="1" applyBorder="1" applyAlignment="1"/>
    <xf numFmtId="43" fontId="1" fillId="4" borderId="2" xfId="1" applyFont="1" applyFill="1" applyBorder="1"/>
    <xf numFmtId="43" fontId="3" fillId="3" borderId="2" xfId="1" applyFont="1" applyFill="1" applyBorder="1" applyAlignment="1"/>
    <xf numFmtId="43" fontId="1" fillId="0" borderId="2" xfId="1" applyFont="1" applyFill="1" applyBorder="1" applyAlignment="1"/>
    <xf numFmtId="4" fontId="4" fillId="2" borderId="3" xfId="0" applyNumberFormat="1" applyFont="1" applyFill="1" applyBorder="1" applyAlignment="1"/>
    <xf numFmtId="43" fontId="1" fillId="2" borderId="3" xfId="1" applyFont="1" applyFill="1" applyBorder="1"/>
    <xf numFmtId="43" fontId="3" fillId="3" borderId="3" xfId="1" applyFont="1" applyFill="1" applyBorder="1" applyAlignment="1"/>
    <xf numFmtId="43" fontId="1" fillId="0" borderId="3" xfId="1" applyFont="1" applyFill="1" applyBorder="1" applyAlignment="1"/>
    <xf numFmtId="4" fontId="5" fillId="2" borderId="3" xfId="0" applyNumberFormat="1" applyFont="1" applyFill="1" applyBorder="1" applyAlignment="1">
      <alignment horizontal="left" indent="1"/>
    </xf>
    <xf numFmtId="43" fontId="5" fillId="0" borderId="3" xfId="1" applyFont="1" applyBorder="1"/>
    <xf numFmtId="43" fontId="4" fillId="0" borderId="3" xfId="1" applyFont="1" applyBorder="1"/>
    <xf numFmtId="4" fontId="4" fillId="2" borderId="3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left"/>
    </xf>
    <xf numFmtId="43" fontId="3" fillId="2" borderId="3" xfId="1" applyFont="1" applyFill="1" applyBorder="1"/>
    <xf numFmtId="4" fontId="5" fillId="2" borderId="6" xfId="0" applyNumberFormat="1" applyFont="1" applyFill="1" applyBorder="1" applyAlignment="1">
      <alignment horizontal="left"/>
    </xf>
    <xf numFmtId="43" fontId="3" fillId="2" borderId="6" xfId="1" applyFont="1" applyFill="1" applyBorder="1"/>
    <xf numFmtId="43" fontId="3" fillId="3" borderId="6" xfId="1" applyFont="1" applyFill="1" applyBorder="1" applyAlignment="1"/>
    <xf numFmtId="43" fontId="1" fillId="0" borderId="6" xfId="1" applyFont="1" applyFill="1" applyBorder="1" applyAlignment="1"/>
    <xf numFmtId="4" fontId="5" fillId="0" borderId="0" xfId="0" applyNumberFormat="1" applyFont="1" applyFill="1" applyBorder="1" applyAlignment="1">
      <alignment horizontal="left"/>
    </xf>
    <xf numFmtId="43" fontId="3" fillId="0" borderId="0" xfId="1" applyFont="1" applyFill="1" applyBorder="1"/>
    <xf numFmtId="43" fontId="3" fillId="0" borderId="0" xfId="1" applyFont="1" applyFill="1" applyBorder="1" applyAlignment="1"/>
    <xf numFmtId="43" fontId="1" fillId="0" borderId="0" xfId="1" applyFont="1" applyFill="1" applyBorder="1" applyAlignment="1"/>
    <xf numFmtId="4" fontId="4" fillId="2" borderId="5" xfId="0" applyNumberFormat="1" applyFont="1" applyFill="1" applyBorder="1" applyAlignment="1">
      <alignment horizontal="left"/>
    </xf>
    <xf numFmtId="43" fontId="3" fillId="2" borderId="5" xfId="1" applyFont="1" applyFill="1" applyBorder="1"/>
    <xf numFmtId="43" fontId="3" fillId="3" borderId="5" xfId="1" applyFont="1" applyFill="1" applyBorder="1" applyAlignment="1"/>
    <xf numFmtId="43" fontId="1" fillId="2" borderId="5" xfId="1" applyFont="1" applyFill="1" applyBorder="1" applyAlignment="1"/>
    <xf numFmtId="4" fontId="4" fillId="4" borderId="3" xfId="0" applyNumberFormat="1" applyFont="1" applyFill="1" applyBorder="1" applyAlignment="1">
      <alignment horizontal="left"/>
    </xf>
    <xf numFmtId="43" fontId="4" fillId="4" borderId="3" xfId="1" applyFont="1" applyFill="1" applyBorder="1"/>
    <xf numFmtId="4" fontId="4" fillId="4" borderId="3" xfId="0" applyNumberFormat="1" applyFont="1" applyFill="1" applyBorder="1" applyAlignment="1"/>
    <xf numFmtId="43" fontId="4" fillId="0" borderId="3" xfId="1" applyFont="1" applyFill="1" applyBorder="1"/>
    <xf numFmtId="43" fontId="3" fillId="4" borderId="3" xfId="1" applyFont="1" applyFill="1" applyBorder="1"/>
    <xf numFmtId="0" fontId="6" fillId="2" borderId="0" xfId="0" applyFont="1" applyFill="1" applyAlignment="1"/>
    <xf numFmtId="4" fontId="7" fillId="5" borderId="6" xfId="0" applyNumberFormat="1" applyFont="1" applyFill="1" applyBorder="1" applyAlignment="1">
      <alignment horizontal="center"/>
    </xf>
    <xf numFmtId="43" fontId="6" fillId="5" borderId="6" xfId="1" applyFont="1" applyFill="1" applyBorder="1"/>
    <xf numFmtId="4" fontId="4" fillId="4" borderId="5" xfId="0" applyNumberFormat="1" applyFont="1" applyFill="1" applyBorder="1" applyAlignment="1">
      <alignment horizontal="left"/>
    </xf>
    <xf numFmtId="43" fontId="3" fillId="4" borderId="2" xfId="1" applyFont="1" applyFill="1" applyBorder="1"/>
    <xf numFmtId="43" fontId="1" fillId="2" borderId="5" xfId="1" applyFont="1" applyFill="1" applyBorder="1" applyAlignment="1">
      <alignment vertical="center"/>
    </xf>
    <xf numFmtId="0" fontId="6" fillId="2" borderId="0" xfId="0" applyFont="1" applyFill="1"/>
    <xf numFmtId="4" fontId="7" fillId="5" borderId="4" xfId="0" applyNumberFormat="1" applyFont="1" applyFill="1" applyBorder="1" applyAlignment="1">
      <alignment horizontal="center"/>
    </xf>
    <xf numFmtId="43" fontId="6" fillId="5" borderId="4" xfId="1" applyFont="1" applyFill="1" applyBorder="1"/>
    <xf numFmtId="4" fontId="7" fillId="0" borderId="7" xfId="0" applyNumberFormat="1" applyFont="1" applyFill="1" applyBorder="1" applyAlignment="1">
      <alignment horizontal="center"/>
    </xf>
    <xf numFmtId="43" fontId="6" fillId="0" borderId="7" xfId="1" applyFont="1" applyFill="1" applyBorder="1"/>
    <xf numFmtId="43" fontId="3" fillId="0" borderId="7" xfId="1" applyFont="1" applyFill="1" applyBorder="1" applyAlignment="1"/>
    <xf numFmtId="43" fontId="3" fillId="0" borderId="7" xfId="1" applyFont="1" applyFill="1" applyBorder="1"/>
    <xf numFmtId="43" fontId="1" fillId="0" borderId="7" xfId="1" applyFont="1" applyFill="1" applyBorder="1" applyAlignment="1"/>
    <xf numFmtId="0" fontId="1" fillId="0" borderId="0" xfId="0" applyFont="1" applyBorder="1" applyAlignment="1">
      <alignment horizontal="left" readingOrder="1"/>
    </xf>
    <xf numFmtId="0" fontId="3" fillId="0" borderId="0" xfId="0" applyFont="1" applyBorder="1" applyAlignment="1">
      <alignment horizontal="left" readingOrder="1"/>
    </xf>
    <xf numFmtId="0" fontId="3" fillId="0" borderId="13" xfId="0" applyFont="1" applyBorder="1" applyAlignment="1">
      <alignment horizontal="left" readingOrder="1"/>
    </xf>
    <xf numFmtId="43" fontId="1" fillId="0" borderId="4" xfId="1" applyFont="1" applyFill="1" applyBorder="1" applyAlignment="1"/>
    <xf numFmtId="43" fontId="5" fillId="3" borderId="4" xfId="1" applyFont="1" applyFill="1" applyBorder="1" applyAlignment="1"/>
    <xf numFmtId="43" fontId="6" fillId="5" borderId="4" xfId="1" applyFont="1" applyFill="1" applyBorder="1" applyAlignment="1"/>
    <xf numFmtId="4" fontId="7" fillId="5" borderId="4" xfId="0" applyNumberFormat="1" applyFont="1" applyFill="1" applyBorder="1" applyAlignment="1">
      <alignment horizontal="left"/>
    </xf>
    <xf numFmtId="0" fontId="8" fillId="2" borderId="0" xfId="0" applyFont="1" applyFill="1" applyAlignment="1"/>
    <xf numFmtId="43" fontId="5" fillId="3" borderId="3" xfId="1" applyFont="1" applyFill="1" applyBorder="1" applyAlignment="1"/>
    <xf numFmtId="43" fontId="9" fillId="0" borderId="3" xfId="1" applyFont="1" applyBorder="1" applyAlignment="1"/>
    <xf numFmtId="43" fontId="4" fillId="4" borderId="3" xfId="1" applyFont="1" applyFill="1" applyBorder="1" applyAlignment="1"/>
    <xf numFmtId="4" fontId="5" fillId="2" borderId="3" xfId="0" applyNumberFormat="1" applyFont="1" applyFill="1" applyBorder="1" applyAlignment="1">
      <alignment horizontal="left" indent="2"/>
    </xf>
    <xf numFmtId="43" fontId="5" fillId="4" borderId="3" xfId="1" applyFont="1" applyFill="1" applyBorder="1" applyAlignment="1"/>
    <xf numFmtId="43" fontId="10" fillId="4" borderId="2" xfId="1" applyFont="1" applyFill="1" applyBorder="1" applyAlignment="1"/>
    <xf numFmtId="0" fontId="1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readingOrder="1"/>
    </xf>
    <xf numFmtId="0" fontId="3" fillId="0" borderId="0" xfId="0" applyFont="1" applyBorder="1" applyAlignment="1">
      <alignment horizontal="left" readingOrder="1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</xdr:colOff>
      <xdr:row>0</xdr:row>
      <xdr:rowOff>121920</xdr:rowOff>
    </xdr:from>
    <xdr:to>
      <xdr:col>19</xdr:col>
      <xdr:colOff>17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74705" y="121920"/>
          <a:ext cx="2055512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121920</xdr:rowOff>
    </xdr:from>
    <xdr:to>
      <xdr:col>19</xdr:col>
      <xdr:colOff>0</xdr:colOff>
      <xdr:row>1</xdr:row>
      <xdr:rowOff>211409</xdr:rowOff>
    </xdr:to>
    <xdr:sp macro="" textlink="">
      <xdr:nvSpPr>
        <xdr:cNvPr id="4" name="Rounded Rectangle 3"/>
        <xdr:cNvSpPr/>
      </xdr:nvSpPr>
      <xdr:spPr>
        <a:xfrm>
          <a:off x="10982325" y="121920"/>
          <a:ext cx="2047875" cy="24188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view="pageBreakPreview" zoomScaleNormal="15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defaultColWidth="9" defaultRowHeight="21.75" x14ac:dyDescent="0.5"/>
  <cols>
    <col min="1" max="1" width="2.75" style="1" customWidth="1"/>
    <col min="2" max="2" width="39.25" style="1" customWidth="1"/>
    <col min="3" max="3" width="9.75" style="1" bestFit="1" customWidth="1"/>
    <col min="4" max="4" width="12" style="1" bestFit="1" customWidth="1"/>
    <col min="5" max="5" width="9.75" style="1" bestFit="1" customWidth="1"/>
    <col min="6" max="6" width="10.875" style="1" bestFit="1" customWidth="1"/>
    <col min="7" max="9" width="12" style="1" bestFit="1" customWidth="1"/>
    <col min="10" max="10" width="11.75" style="1" bestFit="1" customWidth="1"/>
    <col min="11" max="13" width="12" style="1" bestFit="1" customWidth="1"/>
    <col min="14" max="14" width="11.75" style="1" bestFit="1" customWidth="1"/>
    <col min="15" max="15" width="10.625" style="1" bestFit="1" customWidth="1"/>
    <col min="16" max="17" width="12" style="1" bestFit="1" customWidth="1"/>
    <col min="18" max="18" width="10.875" style="1" bestFit="1" customWidth="1"/>
    <col min="19" max="19" width="12.25" style="1" bestFit="1" customWidth="1"/>
    <col min="20" max="16384" width="9" style="1"/>
  </cols>
  <sheetData>
    <row r="1" spans="2:19" x14ac:dyDescent="0.5">
      <c r="B1" s="75" t="s">
        <v>109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19" x14ac:dyDescent="0.5">
      <c r="B2" s="76" t="s">
        <v>108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2:19" x14ac:dyDescent="0.5">
      <c r="B3" s="76" t="s">
        <v>106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2:19" x14ac:dyDescent="0.5">
      <c r="B4" s="76" t="s">
        <v>110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2:19" s="2" customFormat="1" x14ac:dyDescent="0.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5">
      <c r="B6" s="70" t="s">
        <v>0</v>
      </c>
      <c r="C6" s="72" t="s">
        <v>112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19" x14ac:dyDescent="0.5">
      <c r="B7" s="71"/>
      <c r="C7" s="67" t="s">
        <v>1</v>
      </c>
      <c r="D7" s="67" t="s">
        <v>2</v>
      </c>
      <c r="E7" s="67" t="s">
        <v>3</v>
      </c>
      <c r="F7" s="5" t="s">
        <v>14</v>
      </c>
      <c r="G7" s="67" t="s">
        <v>4</v>
      </c>
      <c r="H7" s="67" t="s">
        <v>5</v>
      </c>
      <c r="I7" s="67" t="s">
        <v>6</v>
      </c>
      <c r="J7" s="5" t="s">
        <v>15</v>
      </c>
      <c r="K7" s="67" t="s">
        <v>7</v>
      </c>
      <c r="L7" s="67" t="s">
        <v>8</v>
      </c>
      <c r="M7" s="67" t="s">
        <v>9</v>
      </c>
      <c r="N7" s="5" t="s">
        <v>16</v>
      </c>
      <c r="O7" s="67" t="s">
        <v>10</v>
      </c>
      <c r="P7" s="67" t="s">
        <v>11</v>
      </c>
      <c r="Q7" s="67" t="s">
        <v>12</v>
      </c>
      <c r="R7" s="6" t="s">
        <v>17</v>
      </c>
      <c r="S7" s="6" t="s">
        <v>13</v>
      </c>
    </row>
    <row r="8" spans="2:19" s="7" customFormat="1" x14ac:dyDescent="0.5">
      <c r="B8" s="8" t="s">
        <v>18</v>
      </c>
      <c r="C8" s="9">
        <f>C9+C18</f>
        <v>14739</v>
      </c>
      <c r="D8" s="9">
        <f>D9+D18</f>
        <v>25610.400000000001</v>
      </c>
      <c r="E8" s="9">
        <f>E9+E18</f>
        <v>37343</v>
      </c>
      <c r="F8" s="10">
        <f t="shared" ref="F8:F34" si="0">SUM(C8:E8)</f>
        <v>77692.399999999994</v>
      </c>
      <c r="G8" s="9">
        <f>G9+G18</f>
        <v>69031</v>
      </c>
      <c r="H8" s="9">
        <f>H9+H18</f>
        <v>338030</v>
      </c>
      <c r="I8" s="9">
        <f>I9+I18</f>
        <v>259656.4</v>
      </c>
      <c r="J8" s="10">
        <f t="shared" ref="J8:J34" si="1">SUM(G8:I8)</f>
        <v>666717.4</v>
      </c>
      <c r="K8" s="9">
        <f>K9+K18</f>
        <v>126361.01000000001</v>
      </c>
      <c r="L8" s="9">
        <f>L9+L18</f>
        <v>373357</v>
      </c>
      <c r="M8" s="9">
        <f>M9+M18</f>
        <v>262393.62</v>
      </c>
      <c r="N8" s="10">
        <f t="shared" ref="N8:N34" si="2">SUM(K8:M8)</f>
        <v>762111.63</v>
      </c>
      <c r="O8" s="9">
        <f>O9+O18</f>
        <v>141679.79999999999</v>
      </c>
      <c r="P8" s="9">
        <f>P9+P18</f>
        <v>221136.4</v>
      </c>
      <c r="Q8" s="9">
        <f>Q9+Q18</f>
        <v>79567.33</v>
      </c>
      <c r="R8" s="10">
        <f t="shared" ref="R8:R34" si="3">SUM(O8:Q8)</f>
        <v>442383.52999999997</v>
      </c>
      <c r="S8" s="11">
        <f t="shared" ref="S8:S34" si="4">F8+J8+N8+R8</f>
        <v>1948904.9600000002</v>
      </c>
    </row>
    <row r="9" spans="2:19" s="7" customFormat="1" x14ac:dyDescent="0.5">
      <c r="B9" s="12" t="s">
        <v>19</v>
      </c>
      <c r="C9" s="13">
        <f>SUM(C10:C17)</f>
        <v>89</v>
      </c>
      <c r="D9" s="13">
        <f>SUM(D10:D17)</f>
        <v>13</v>
      </c>
      <c r="E9" s="13">
        <f>SUM(E10:E17)</f>
        <v>157</v>
      </c>
      <c r="F9" s="14">
        <f t="shared" si="0"/>
        <v>259</v>
      </c>
      <c r="G9" s="13">
        <f>SUM(G10:G17)</f>
        <v>38991</v>
      </c>
      <c r="H9" s="13">
        <f>SUM(H10:H17)</f>
        <v>167992</v>
      </c>
      <c r="I9" s="13">
        <f>SUM(I10:I17)</f>
        <v>215607</v>
      </c>
      <c r="J9" s="14">
        <f t="shared" si="1"/>
        <v>422590</v>
      </c>
      <c r="K9" s="13">
        <f>SUM(K10:K17)</f>
        <v>92828</v>
      </c>
      <c r="L9" s="13">
        <f>SUM(L10:L17)</f>
        <v>319516</v>
      </c>
      <c r="M9" s="13">
        <f>SUM(M10:M17)</f>
        <v>77248</v>
      </c>
      <c r="N9" s="14">
        <f t="shared" si="2"/>
        <v>489592</v>
      </c>
      <c r="O9" s="13">
        <f>SUM(O10:O17)</f>
        <v>102248</v>
      </c>
      <c r="P9" s="13">
        <f>SUM(P10:P17)</f>
        <v>76388</v>
      </c>
      <c r="Q9" s="13">
        <f>SUM(Q10:Q17)</f>
        <v>1864</v>
      </c>
      <c r="R9" s="14">
        <f t="shared" si="3"/>
        <v>180500</v>
      </c>
      <c r="S9" s="15">
        <f t="shared" si="4"/>
        <v>1092941</v>
      </c>
    </row>
    <row r="10" spans="2:19" s="7" customFormat="1" x14ac:dyDescent="0.5">
      <c r="B10" s="16" t="s">
        <v>82</v>
      </c>
      <c r="C10" s="17"/>
      <c r="D10" s="17"/>
      <c r="E10" s="17"/>
      <c r="F10" s="14">
        <f t="shared" si="0"/>
        <v>0</v>
      </c>
      <c r="G10" s="17">
        <v>36687</v>
      </c>
      <c r="H10" s="17">
        <v>136964</v>
      </c>
      <c r="I10" s="17">
        <v>171553</v>
      </c>
      <c r="J10" s="14">
        <f t="shared" si="1"/>
        <v>345204</v>
      </c>
      <c r="K10" s="17">
        <v>25689</v>
      </c>
      <c r="L10" s="17">
        <v>245600</v>
      </c>
      <c r="M10" s="17">
        <v>74665</v>
      </c>
      <c r="N10" s="14">
        <f t="shared" si="2"/>
        <v>345954</v>
      </c>
      <c r="O10" s="17">
        <v>46114</v>
      </c>
      <c r="P10" s="17">
        <v>46441</v>
      </c>
      <c r="Q10" s="17">
        <v>834</v>
      </c>
      <c r="R10" s="14">
        <f t="shared" si="3"/>
        <v>93389</v>
      </c>
      <c r="S10" s="15">
        <f t="shared" si="4"/>
        <v>784547</v>
      </c>
    </row>
    <row r="11" spans="2:19" s="7" customFormat="1" x14ac:dyDescent="0.5">
      <c r="B11" s="16" t="s">
        <v>83</v>
      </c>
      <c r="C11" s="17">
        <v>89</v>
      </c>
      <c r="D11" s="17">
        <v>13</v>
      </c>
      <c r="E11" s="17">
        <v>157</v>
      </c>
      <c r="F11" s="14">
        <f t="shared" si="0"/>
        <v>259</v>
      </c>
      <c r="G11" s="17">
        <v>1504</v>
      </c>
      <c r="H11" s="17">
        <v>24790</v>
      </c>
      <c r="I11" s="17">
        <v>5526</v>
      </c>
      <c r="J11" s="14">
        <f t="shared" si="1"/>
        <v>31820</v>
      </c>
      <c r="K11" s="17">
        <v>3949</v>
      </c>
      <c r="L11" s="17">
        <v>27716</v>
      </c>
      <c r="M11" s="17">
        <v>2583</v>
      </c>
      <c r="N11" s="14">
        <f t="shared" si="2"/>
        <v>34248</v>
      </c>
      <c r="O11" s="17">
        <v>4548</v>
      </c>
      <c r="P11" s="17">
        <v>3378</v>
      </c>
      <c r="Q11" s="17">
        <v>1030</v>
      </c>
      <c r="R11" s="14">
        <f t="shared" si="3"/>
        <v>8956</v>
      </c>
      <c r="S11" s="15">
        <f t="shared" si="4"/>
        <v>75283</v>
      </c>
    </row>
    <row r="12" spans="2:19" s="7" customFormat="1" x14ac:dyDescent="0.5">
      <c r="B12" s="16" t="s">
        <v>84</v>
      </c>
      <c r="C12" s="17"/>
      <c r="D12" s="17"/>
      <c r="E12" s="17"/>
      <c r="F12" s="14">
        <f t="shared" si="0"/>
        <v>0</v>
      </c>
      <c r="G12" s="17">
        <v>800</v>
      </c>
      <c r="H12" s="17">
        <v>6238</v>
      </c>
      <c r="I12" s="17">
        <v>38528</v>
      </c>
      <c r="J12" s="14">
        <f t="shared" si="1"/>
        <v>45566</v>
      </c>
      <c r="K12" s="17">
        <v>63190</v>
      </c>
      <c r="L12" s="17">
        <v>46200</v>
      </c>
      <c r="M12" s="17"/>
      <c r="N12" s="14">
        <f t="shared" si="2"/>
        <v>109390</v>
      </c>
      <c r="O12" s="17">
        <v>51586</v>
      </c>
      <c r="P12" s="17">
        <v>26569</v>
      </c>
      <c r="Q12" s="17"/>
      <c r="R12" s="14">
        <f t="shared" si="3"/>
        <v>78155</v>
      </c>
      <c r="S12" s="15">
        <f t="shared" si="4"/>
        <v>233111</v>
      </c>
    </row>
    <row r="13" spans="2:19" s="7" customFormat="1" x14ac:dyDescent="0.5">
      <c r="B13" s="16" t="s">
        <v>85</v>
      </c>
      <c r="C13" s="17"/>
      <c r="D13" s="17"/>
      <c r="E13" s="17"/>
      <c r="F13" s="14">
        <f t="shared" si="0"/>
        <v>0</v>
      </c>
      <c r="G13" s="17"/>
      <c r="H13" s="17"/>
      <c r="I13" s="17"/>
      <c r="J13" s="14">
        <f t="shared" si="1"/>
        <v>0</v>
      </c>
      <c r="K13" s="17"/>
      <c r="L13" s="17"/>
      <c r="M13" s="17"/>
      <c r="N13" s="14">
        <f t="shared" si="2"/>
        <v>0</v>
      </c>
      <c r="O13" s="17"/>
      <c r="P13" s="17"/>
      <c r="Q13" s="17"/>
      <c r="R13" s="14">
        <f t="shared" si="3"/>
        <v>0</v>
      </c>
      <c r="S13" s="15">
        <f t="shared" si="4"/>
        <v>0</v>
      </c>
    </row>
    <row r="14" spans="2:19" s="7" customFormat="1" x14ac:dyDescent="0.5">
      <c r="B14" s="16" t="s">
        <v>86</v>
      </c>
      <c r="C14" s="17"/>
      <c r="D14" s="17"/>
      <c r="E14" s="17"/>
      <c r="F14" s="14">
        <f t="shared" si="0"/>
        <v>0</v>
      </c>
      <c r="G14" s="17"/>
      <c r="H14" s="17"/>
      <c r="I14" s="17"/>
      <c r="J14" s="14">
        <f t="shared" si="1"/>
        <v>0</v>
      </c>
      <c r="K14" s="17"/>
      <c r="L14" s="17"/>
      <c r="M14" s="17"/>
      <c r="N14" s="14">
        <f t="shared" si="2"/>
        <v>0</v>
      </c>
      <c r="O14" s="17"/>
      <c r="P14" s="17"/>
      <c r="Q14" s="17"/>
      <c r="R14" s="14">
        <f t="shared" si="3"/>
        <v>0</v>
      </c>
      <c r="S14" s="15">
        <f t="shared" si="4"/>
        <v>0</v>
      </c>
    </row>
    <row r="15" spans="2:19" s="7" customFormat="1" x14ac:dyDescent="0.5">
      <c r="B15" s="16" t="s">
        <v>87</v>
      </c>
      <c r="C15" s="17"/>
      <c r="D15" s="17"/>
      <c r="E15" s="17"/>
      <c r="F15" s="14">
        <f t="shared" si="0"/>
        <v>0</v>
      </c>
      <c r="G15" s="17"/>
      <c r="H15" s="17"/>
      <c r="I15" s="17"/>
      <c r="J15" s="14">
        <f t="shared" si="1"/>
        <v>0</v>
      </c>
      <c r="K15" s="17"/>
      <c r="L15" s="17"/>
      <c r="M15" s="17"/>
      <c r="N15" s="14">
        <f t="shared" si="2"/>
        <v>0</v>
      </c>
      <c r="O15" s="17"/>
      <c r="P15" s="17"/>
      <c r="Q15" s="17"/>
      <c r="R15" s="14">
        <f t="shared" si="3"/>
        <v>0</v>
      </c>
      <c r="S15" s="15">
        <f t="shared" si="4"/>
        <v>0</v>
      </c>
    </row>
    <row r="16" spans="2:19" s="7" customFormat="1" x14ac:dyDescent="0.5">
      <c r="B16" s="16" t="s">
        <v>88</v>
      </c>
      <c r="C16" s="17"/>
      <c r="D16" s="17"/>
      <c r="E16" s="17"/>
      <c r="F16" s="14">
        <f t="shared" si="0"/>
        <v>0</v>
      </c>
      <c r="G16" s="17"/>
      <c r="H16" s="17"/>
      <c r="I16" s="17"/>
      <c r="J16" s="14">
        <f t="shared" si="1"/>
        <v>0</v>
      </c>
      <c r="K16" s="17"/>
      <c r="L16" s="17"/>
      <c r="M16" s="17"/>
      <c r="N16" s="14">
        <f t="shared" si="2"/>
        <v>0</v>
      </c>
      <c r="O16" s="17"/>
      <c r="P16" s="17"/>
      <c r="Q16" s="17"/>
      <c r="R16" s="14">
        <f t="shared" si="3"/>
        <v>0</v>
      </c>
      <c r="S16" s="15">
        <f t="shared" si="4"/>
        <v>0</v>
      </c>
    </row>
    <row r="17" spans="2:19" s="7" customFormat="1" x14ac:dyDescent="0.5">
      <c r="B17" s="16" t="s">
        <v>105</v>
      </c>
      <c r="C17" s="17"/>
      <c r="D17" s="17"/>
      <c r="E17" s="17"/>
      <c r="F17" s="14">
        <f t="shared" si="0"/>
        <v>0</v>
      </c>
      <c r="G17" s="17"/>
      <c r="H17" s="17"/>
      <c r="I17" s="17"/>
      <c r="J17" s="14">
        <f t="shared" si="1"/>
        <v>0</v>
      </c>
      <c r="K17" s="17"/>
      <c r="L17" s="17"/>
      <c r="M17" s="17"/>
      <c r="N17" s="14">
        <f t="shared" si="2"/>
        <v>0</v>
      </c>
      <c r="O17" s="17"/>
      <c r="P17" s="17"/>
      <c r="Q17" s="17"/>
      <c r="R17" s="14">
        <f t="shared" si="3"/>
        <v>0</v>
      </c>
      <c r="S17" s="15">
        <f t="shared" si="4"/>
        <v>0</v>
      </c>
    </row>
    <row r="18" spans="2:19" s="7" customFormat="1" x14ac:dyDescent="0.5">
      <c r="B18" s="12" t="s">
        <v>20</v>
      </c>
      <c r="C18" s="18">
        <f>C19+C24+C29+C32+C38</f>
        <v>14650</v>
      </c>
      <c r="D18" s="18">
        <f>D19+D24+D29+D32+D38</f>
        <v>25597.4</v>
      </c>
      <c r="E18" s="18">
        <f>E19+E24+E29+E32+E38</f>
        <v>37186</v>
      </c>
      <c r="F18" s="14">
        <f t="shared" si="0"/>
        <v>77433.399999999994</v>
      </c>
      <c r="G18" s="18">
        <f>G19+G24+G29+G32+G38</f>
        <v>30040</v>
      </c>
      <c r="H18" s="18">
        <f>H19+H24+H29+H32+H38</f>
        <v>170038</v>
      </c>
      <c r="I18" s="18">
        <f>I19+I24+I29+I32+I38</f>
        <v>44049.4</v>
      </c>
      <c r="J18" s="14">
        <f t="shared" si="1"/>
        <v>244127.4</v>
      </c>
      <c r="K18" s="18">
        <f>K19+K24+K29+K32+K38</f>
        <v>33533.01</v>
      </c>
      <c r="L18" s="18">
        <f>L19+L24+L29+L32+L38</f>
        <v>53841</v>
      </c>
      <c r="M18" s="18">
        <f>M19+M24+M29+M32+M38</f>
        <v>185145.62</v>
      </c>
      <c r="N18" s="14">
        <f t="shared" si="2"/>
        <v>272519.63</v>
      </c>
      <c r="O18" s="18">
        <f>O19+O24+O29+O32+O38</f>
        <v>39431.800000000003</v>
      </c>
      <c r="P18" s="18">
        <f>P19+P24+P29+P32+P38</f>
        <v>144748.4</v>
      </c>
      <c r="Q18" s="18">
        <f>Q19+Q24+Q29+Q32+Q38</f>
        <v>77703.33</v>
      </c>
      <c r="R18" s="14">
        <f t="shared" si="3"/>
        <v>261883.53000000003</v>
      </c>
      <c r="S18" s="15">
        <f t="shared" si="4"/>
        <v>855963.96</v>
      </c>
    </row>
    <row r="19" spans="2:19" s="7" customFormat="1" x14ac:dyDescent="0.5">
      <c r="B19" s="19" t="s">
        <v>21</v>
      </c>
      <c r="C19" s="13">
        <f>SUM(C20:C23)</f>
        <v>14650</v>
      </c>
      <c r="D19" s="13">
        <f>SUM(D20:D23)</f>
        <v>25597.4</v>
      </c>
      <c r="E19" s="13">
        <f>SUM(E20:E23)</f>
        <v>37186</v>
      </c>
      <c r="F19" s="14">
        <f t="shared" si="0"/>
        <v>77433.399999999994</v>
      </c>
      <c r="G19" s="13">
        <f>SUM(G20:G23)</f>
        <v>30040</v>
      </c>
      <c r="H19" s="13">
        <f>SUM(H20:H23)</f>
        <v>38661.800000000003</v>
      </c>
      <c r="I19" s="13">
        <f>SUM(I20:I23)</f>
        <v>44049.4</v>
      </c>
      <c r="J19" s="14">
        <f t="shared" si="1"/>
        <v>112751.20000000001</v>
      </c>
      <c r="K19" s="13">
        <f>SUM(K20:K23)</f>
        <v>18885</v>
      </c>
      <c r="L19" s="13">
        <f>SUM(L20:L23)</f>
        <v>50841</v>
      </c>
      <c r="M19" s="13">
        <f>SUM(M20:M23)</f>
        <v>38229.4</v>
      </c>
      <c r="N19" s="14">
        <f t="shared" si="2"/>
        <v>107955.4</v>
      </c>
      <c r="O19" s="13">
        <f>SUM(O20:O23)</f>
        <v>39431.800000000003</v>
      </c>
      <c r="P19" s="13">
        <f>SUM(P20:P23)</f>
        <v>61280</v>
      </c>
      <c r="Q19" s="13">
        <f>SUM(Q20:Q23)</f>
        <v>61912.4</v>
      </c>
      <c r="R19" s="14">
        <f t="shared" si="3"/>
        <v>162624.20000000001</v>
      </c>
      <c r="S19" s="15">
        <f t="shared" si="4"/>
        <v>460764.2</v>
      </c>
    </row>
    <row r="20" spans="2:19" s="7" customFormat="1" x14ac:dyDescent="0.5">
      <c r="B20" s="20" t="s">
        <v>22</v>
      </c>
      <c r="C20" s="17">
        <v>92</v>
      </c>
      <c r="D20" s="17">
        <v>168</v>
      </c>
      <c r="E20" s="17">
        <v>1026</v>
      </c>
      <c r="F20" s="14">
        <f t="shared" si="0"/>
        <v>1286</v>
      </c>
      <c r="G20" s="17">
        <v>30</v>
      </c>
      <c r="H20" s="17">
        <v>5126</v>
      </c>
      <c r="I20" s="17">
        <v>457</v>
      </c>
      <c r="J20" s="14">
        <f t="shared" si="1"/>
        <v>5613</v>
      </c>
      <c r="K20" s="17">
        <v>295</v>
      </c>
      <c r="L20" s="17">
        <v>374</v>
      </c>
      <c r="M20" s="17">
        <v>460</v>
      </c>
      <c r="N20" s="14">
        <f t="shared" si="2"/>
        <v>1129</v>
      </c>
      <c r="O20" s="17">
        <v>263</v>
      </c>
      <c r="P20" s="17">
        <v>12020</v>
      </c>
      <c r="Q20" s="17">
        <v>1743</v>
      </c>
      <c r="R20" s="14">
        <f t="shared" si="3"/>
        <v>14026</v>
      </c>
      <c r="S20" s="15">
        <f t="shared" si="4"/>
        <v>22054</v>
      </c>
    </row>
    <row r="21" spans="2:19" s="7" customFormat="1" x14ac:dyDescent="0.5">
      <c r="B21" s="20" t="s">
        <v>23</v>
      </c>
      <c r="C21" s="17">
        <v>6130</v>
      </c>
      <c r="D21" s="17">
        <v>20770</v>
      </c>
      <c r="E21" s="17">
        <v>32370</v>
      </c>
      <c r="F21" s="14">
        <f t="shared" si="0"/>
        <v>59270</v>
      </c>
      <c r="G21" s="17">
        <v>27300</v>
      </c>
      <c r="H21" s="17">
        <v>27230</v>
      </c>
      <c r="I21" s="17">
        <v>36530</v>
      </c>
      <c r="J21" s="14">
        <f t="shared" si="1"/>
        <v>91060</v>
      </c>
      <c r="K21" s="17">
        <v>9910</v>
      </c>
      <c r="L21" s="17">
        <v>50170</v>
      </c>
      <c r="M21" s="17">
        <v>33330</v>
      </c>
      <c r="N21" s="14">
        <f t="shared" si="2"/>
        <v>93410</v>
      </c>
      <c r="O21" s="17">
        <v>32930</v>
      </c>
      <c r="P21" s="17">
        <v>33390</v>
      </c>
      <c r="Q21" s="17">
        <v>49020</v>
      </c>
      <c r="R21" s="14">
        <f t="shared" si="3"/>
        <v>115340</v>
      </c>
      <c r="S21" s="15">
        <f t="shared" si="4"/>
        <v>359080</v>
      </c>
    </row>
    <row r="22" spans="2:19" s="7" customFormat="1" x14ac:dyDescent="0.5">
      <c r="B22" s="20" t="s">
        <v>24</v>
      </c>
      <c r="C22" s="17"/>
      <c r="D22" s="17">
        <v>2600</v>
      </c>
      <c r="E22" s="17">
        <v>1600</v>
      </c>
      <c r="F22" s="14">
        <f t="shared" si="0"/>
        <v>4200</v>
      </c>
      <c r="G22" s="17"/>
      <c r="H22" s="17">
        <v>0</v>
      </c>
      <c r="I22" s="17">
        <v>2900</v>
      </c>
      <c r="J22" s="14">
        <f t="shared" si="1"/>
        <v>2900</v>
      </c>
      <c r="K22" s="17">
        <v>3500</v>
      </c>
      <c r="L22" s="17"/>
      <c r="M22" s="17">
        <v>1600</v>
      </c>
      <c r="N22" s="14">
        <f t="shared" si="2"/>
        <v>5100</v>
      </c>
      <c r="O22" s="17"/>
      <c r="P22" s="17">
        <v>1700</v>
      </c>
      <c r="Q22" s="17">
        <v>800</v>
      </c>
      <c r="R22" s="14">
        <f t="shared" si="3"/>
        <v>2500</v>
      </c>
      <c r="S22" s="15">
        <f t="shared" si="4"/>
        <v>14700</v>
      </c>
    </row>
    <row r="23" spans="2:19" s="7" customFormat="1" x14ac:dyDescent="0.5">
      <c r="B23" s="20" t="s">
        <v>25</v>
      </c>
      <c r="C23" s="17">
        <f>170+20+500+6698+1000+40</f>
        <v>8428</v>
      </c>
      <c r="D23" s="17">
        <f>19.4+130+10+1800+100</f>
        <v>2059.4</v>
      </c>
      <c r="E23" s="17">
        <f>30+2020+140</f>
        <v>2190</v>
      </c>
      <c r="F23" s="14">
        <f t="shared" si="0"/>
        <v>12677.4</v>
      </c>
      <c r="G23" s="17">
        <f>390+500+1800+20</f>
        <v>2710</v>
      </c>
      <c r="H23" s="17">
        <f>1105.8+100+10+500+4450+140</f>
        <v>6305.8</v>
      </c>
      <c r="I23" s="17">
        <f>892.4+150+2960+160</f>
        <v>4162.3999999999996</v>
      </c>
      <c r="J23" s="14">
        <f t="shared" si="1"/>
        <v>13178.199999999999</v>
      </c>
      <c r="K23" s="17">
        <f>180+2720+2220+60</f>
        <v>5180</v>
      </c>
      <c r="L23" s="17">
        <f>97+20+20+160</f>
        <v>297</v>
      </c>
      <c r="M23" s="17">
        <f>19.4+100+20+1500+1000+200</f>
        <v>2839.4</v>
      </c>
      <c r="N23" s="14">
        <f t="shared" si="2"/>
        <v>8316.4</v>
      </c>
      <c r="O23" s="17">
        <f>38.8+100+500+5000+500+100</f>
        <v>6238.8</v>
      </c>
      <c r="P23" s="17">
        <f>100+5500+6000+1340+1000+50+180</f>
        <v>14170</v>
      </c>
      <c r="Q23" s="17">
        <f>19.4+270+20+5000+5000+40</f>
        <v>10349.4</v>
      </c>
      <c r="R23" s="14">
        <f t="shared" si="3"/>
        <v>30758.199999999997</v>
      </c>
      <c r="S23" s="15">
        <f t="shared" si="4"/>
        <v>64930.2</v>
      </c>
    </row>
    <row r="24" spans="2:19" s="7" customFormat="1" x14ac:dyDescent="0.5">
      <c r="B24" s="19" t="s">
        <v>89</v>
      </c>
      <c r="C24" s="13">
        <f>SUM(C25:C28)</f>
        <v>0</v>
      </c>
      <c r="D24" s="13">
        <f>SUM(D25:D28)</f>
        <v>0</v>
      </c>
      <c r="E24" s="13">
        <f>SUM(E25:E28)</f>
        <v>0</v>
      </c>
      <c r="F24" s="14">
        <f t="shared" si="0"/>
        <v>0</v>
      </c>
      <c r="G24" s="13">
        <f>SUM(G25:G28)</f>
        <v>0</v>
      </c>
      <c r="H24" s="13">
        <f>SUM(H25:H28)</f>
        <v>74376.2</v>
      </c>
      <c r="I24" s="13">
        <f>SUM(I25:I28)</f>
        <v>0</v>
      </c>
      <c r="J24" s="14">
        <f t="shared" si="1"/>
        <v>74376.2</v>
      </c>
      <c r="K24" s="13">
        <f>SUM(K25:K28)</f>
        <v>14148.01</v>
      </c>
      <c r="L24" s="13">
        <f>SUM(L25:L28)</f>
        <v>0</v>
      </c>
      <c r="M24" s="13">
        <f>SUM(M25:M28)</f>
        <v>146916.22</v>
      </c>
      <c r="N24" s="14">
        <f t="shared" si="2"/>
        <v>161064.23000000001</v>
      </c>
      <c r="O24" s="13">
        <f>SUM(O25:O28)</f>
        <v>0</v>
      </c>
      <c r="P24" s="13">
        <f>SUM(P25:P28)</f>
        <v>81468.399999999994</v>
      </c>
      <c r="Q24" s="13">
        <f>SUM(Q25:Q28)</f>
        <v>15790.93</v>
      </c>
      <c r="R24" s="14">
        <f t="shared" si="3"/>
        <v>97259.329999999987</v>
      </c>
      <c r="S24" s="15">
        <f t="shared" si="4"/>
        <v>332699.76</v>
      </c>
    </row>
    <row r="25" spans="2:19" s="7" customFormat="1" x14ac:dyDescent="0.5">
      <c r="B25" s="20" t="s">
        <v>26</v>
      </c>
      <c r="C25" s="17"/>
      <c r="D25" s="17"/>
      <c r="E25" s="17"/>
      <c r="F25" s="14">
        <f t="shared" si="0"/>
        <v>0</v>
      </c>
      <c r="G25" s="17"/>
      <c r="H25" s="17">
        <v>74376.2</v>
      </c>
      <c r="I25" s="17">
        <v>0</v>
      </c>
      <c r="J25" s="14">
        <f t="shared" si="1"/>
        <v>74376.2</v>
      </c>
      <c r="K25" s="17">
        <v>14148.01</v>
      </c>
      <c r="L25" s="17"/>
      <c r="M25" s="17">
        <v>146916.22</v>
      </c>
      <c r="N25" s="14">
        <f t="shared" si="2"/>
        <v>161064.23000000001</v>
      </c>
      <c r="O25" s="17"/>
      <c r="P25" s="17">
        <v>81468.399999999994</v>
      </c>
      <c r="Q25" s="17">
        <v>15790.93</v>
      </c>
      <c r="R25" s="14">
        <f t="shared" si="3"/>
        <v>97259.329999999987</v>
      </c>
      <c r="S25" s="15">
        <f t="shared" si="4"/>
        <v>332699.76</v>
      </c>
    </row>
    <row r="26" spans="2:19" s="7" customFormat="1" x14ac:dyDescent="0.5">
      <c r="B26" s="20" t="s">
        <v>27</v>
      </c>
      <c r="C26" s="17"/>
      <c r="D26" s="17"/>
      <c r="E26" s="17"/>
      <c r="F26" s="14">
        <f t="shared" si="0"/>
        <v>0</v>
      </c>
      <c r="G26" s="17"/>
      <c r="H26" s="17"/>
      <c r="I26" s="17"/>
      <c r="J26" s="14">
        <f t="shared" si="1"/>
        <v>0</v>
      </c>
      <c r="K26" s="17"/>
      <c r="L26" s="17"/>
      <c r="M26" s="17"/>
      <c r="N26" s="14">
        <f t="shared" si="2"/>
        <v>0</v>
      </c>
      <c r="O26" s="17"/>
      <c r="P26" s="17"/>
      <c r="Q26" s="17"/>
      <c r="R26" s="14">
        <f t="shared" si="3"/>
        <v>0</v>
      </c>
      <c r="S26" s="15">
        <f t="shared" si="4"/>
        <v>0</v>
      </c>
    </row>
    <row r="27" spans="2:19" s="7" customFormat="1" x14ac:dyDescent="0.5">
      <c r="B27" s="20" t="s">
        <v>28</v>
      </c>
      <c r="C27" s="17"/>
      <c r="D27" s="17"/>
      <c r="E27" s="17"/>
      <c r="F27" s="14">
        <f t="shared" si="0"/>
        <v>0</v>
      </c>
      <c r="G27" s="17"/>
      <c r="H27" s="17"/>
      <c r="I27" s="17"/>
      <c r="J27" s="14">
        <f t="shared" si="1"/>
        <v>0</v>
      </c>
      <c r="K27" s="17"/>
      <c r="L27" s="17"/>
      <c r="M27" s="17"/>
      <c r="N27" s="14">
        <f t="shared" si="2"/>
        <v>0</v>
      </c>
      <c r="O27" s="17"/>
      <c r="P27" s="17"/>
      <c r="Q27" s="17"/>
      <c r="R27" s="14">
        <f t="shared" si="3"/>
        <v>0</v>
      </c>
      <c r="S27" s="15">
        <f t="shared" si="4"/>
        <v>0</v>
      </c>
    </row>
    <row r="28" spans="2:19" s="7" customFormat="1" x14ac:dyDescent="0.5">
      <c r="B28" s="20" t="s">
        <v>100</v>
      </c>
      <c r="C28" s="17"/>
      <c r="D28" s="17"/>
      <c r="E28" s="17"/>
      <c r="F28" s="14">
        <f t="shared" si="0"/>
        <v>0</v>
      </c>
      <c r="G28" s="17"/>
      <c r="H28" s="17"/>
      <c r="I28" s="17"/>
      <c r="J28" s="14">
        <f t="shared" si="1"/>
        <v>0</v>
      </c>
      <c r="K28" s="17"/>
      <c r="L28" s="17"/>
      <c r="M28" s="17"/>
      <c r="N28" s="14">
        <f t="shared" si="2"/>
        <v>0</v>
      </c>
      <c r="O28" s="17"/>
      <c r="P28" s="17"/>
      <c r="Q28" s="17"/>
      <c r="R28" s="14">
        <f t="shared" si="3"/>
        <v>0</v>
      </c>
      <c r="S28" s="15">
        <f t="shared" si="4"/>
        <v>0</v>
      </c>
    </row>
    <row r="29" spans="2:19" s="7" customFormat="1" x14ac:dyDescent="0.5">
      <c r="B29" s="19" t="s">
        <v>90</v>
      </c>
      <c r="C29" s="13">
        <f>SUM(C30:C31)</f>
        <v>0</v>
      </c>
      <c r="D29" s="13">
        <f>SUM(D30:D31)</f>
        <v>0</v>
      </c>
      <c r="E29" s="13">
        <f>SUM(E30:E31)</f>
        <v>0</v>
      </c>
      <c r="F29" s="14">
        <f t="shared" si="0"/>
        <v>0</v>
      </c>
      <c r="G29" s="13">
        <f>SUM(G30:G31)</f>
        <v>0</v>
      </c>
      <c r="H29" s="13">
        <f>SUM(H30:H31)</f>
        <v>0</v>
      </c>
      <c r="I29" s="13">
        <f>SUM(I30:I31)</f>
        <v>0</v>
      </c>
      <c r="J29" s="14">
        <f t="shared" si="1"/>
        <v>0</v>
      </c>
      <c r="K29" s="13">
        <f>SUM(K30:K31)</f>
        <v>0</v>
      </c>
      <c r="L29" s="13">
        <f>SUM(L30:L31)</f>
        <v>0</v>
      </c>
      <c r="M29" s="13">
        <f>SUM(M30:M31)</f>
        <v>0</v>
      </c>
      <c r="N29" s="14">
        <f t="shared" si="2"/>
        <v>0</v>
      </c>
      <c r="O29" s="13">
        <f>SUM(O30:O31)</f>
        <v>0</v>
      </c>
      <c r="P29" s="13">
        <f>SUM(P30:P31)</f>
        <v>0</v>
      </c>
      <c r="Q29" s="13">
        <f>SUM(Q30:Q31)</f>
        <v>0</v>
      </c>
      <c r="R29" s="14">
        <f t="shared" si="3"/>
        <v>0</v>
      </c>
      <c r="S29" s="15">
        <f t="shared" si="4"/>
        <v>0</v>
      </c>
    </row>
    <row r="30" spans="2:19" s="7" customFormat="1" x14ac:dyDescent="0.5">
      <c r="B30" s="20" t="s">
        <v>29</v>
      </c>
      <c r="C30" s="17"/>
      <c r="D30" s="17"/>
      <c r="E30" s="17"/>
      <c r="F30" s="14">
        <f t="shared" si="0"/>
        <v>0</v>
      </c>
      <c r="G30" s="17"/>
      <c r="H30" s="17"/>
      <c r="I30" s="17"/>
      <c r="J30" s="14">
        <f t="shared" si="1"/>
        <v>0</v>
      </c>
      <c r="K30" s="17"/>
      <c r="L30" s="17"/>
      <c r="M30" s="17"/>
      <c r="N30" s="14">
        <f t="shared" si="2"/>
        <v>0</v>
      </c>
      <c r="O30" s="17"/>
      <c r="P30" s="17"/>
      <c r="Q30" s="17"/>
      <c r="R30" s="14">
        <f t="shared" si="3"/>
        <v>0</v>
      </c>
      <c r="S30" s="15">
        <f t="shared" si="4"/>
        <v>0</v>
      </c>
    </row>
    <row r="31" spans="2:19" s="7" customFormat="1" x14ac:dyDescent="0.5">
      <c r="B31" s="20" t="s">
        <v>30</v>
      </c>
      <c r="C31" s="17"/>
      <c r="D31" s="17"/>
      <c r="E31" s="17"/>
      <c r="F31" s="14">
        <f t="shared" si="0"/>
        <v>0</v>
      </c>
      <c r="G31" s="17"/>
      <c r="H31" s="17"/>
      <c r="I31" s="17"/>
      <c r="J31" s="14">
        <f t="shared" si="1"/>
        <v>0</v>
      </c>
      <c r="K31" s="17"/>
      <c r="L31" s="17"/>
      <c r="M31" s="17"/>
      <c r="N31" s="14">
        <f t="shared" si="2"/>
        <v>0</v>
      </c>
      <c r="O31" s="17"/>
      <c r="P31" s="17"/>
      <c r="Q31" s="17"/>
      <c r="R31" s="14">
        <f t="shared" si="3"/>
        <v>0</v>
      </c>
      <c r="S31" s="15">
        <f t="shared" si="4"/>
        <v>0</v>
      </c>
    </row>
    <row r="32" spans="2:19" s="7" customFormat="1" x14ac:dyDescent="0.5">
      <c r="B32" s="19" t="s">
        <v>91</v>
      </c>
      <c r="C32" s="13">
        <f>SUM(C33:C34)</f>
        <v>0</v>
      </c>
      <c r="D32" s="13">
        <f>SUM(D33:D34)</f>
        <v>0</v>
      </c>
      <c r="E32" s="13">
        <f>SUM(E33:E34)</f>
        <v>0</v>
      </c>
      <c r="F32" s="14">
        <f t="shared" si="0"/>
        <v>0</v>
      </c>
      <c r="G32" s="13">
        <f>SUM(G33:G34)</f>
        <v>0</v>
      </c>
      <c r="H32" s="13">
        <f>SUM(H33:H34)</f>
        <v>57000</v>
      </c>
      <c r="I32" s="13">
        <f>SUM(I33:I34)</f>
        <v>0</v>
      </c>
      <c r="J32" s="14">
        <f t="shared" si="1"/>
        <v>57000</v>
      </c>
      <c r="K32" s="13">
        <f>SUM(K33:K34)</f>
        <v>500</v>
      </c>
      <c r="L32" s="13">
        <f>SUM(L33:L34)</f>
        <v>3000</v>
      </c>
      <c r="M32" s="13">
        <f>SUM(M33:M34)</f>
        <v>0</v>
      </c>
      <c r="N32" s="14">
        <f t="shared" si="2"/>
        <v>3500</v>
      </c>
      <c r="O32" s="13">
        <f>SUM(O33:O34)</f>
        <v>0</v>
      </c>
      <c r="P32" s="13">
        <f>SUM(P33:P34)</f>
        <v>2000</v>
      </c>
      <c r="Q32" s="13">
        <f>SUM(Q33:Q34)</f>
        <v>0</v>
      </c>
      <c r="R32" s="14">
        <f t="shared" si="3"/>
        <v>2000</v>
      </c>
      <c r="S32" s="15">
        <f t="shared" si="4"/>
        <v>62500</v>
      </c>
    </row>
    <row r="33" spans="2:19" s="7" customFormat="1" x14ac:dyDescent="0.5">
      <c r="B33" s="20" t="s">
        <v>31</v>
      </c>
      <c r="C33" s="21"/>
      <c r="D33" s="21"/>
      <c r="E33" s="21"/>
      <c r="F33" s="14">
        <f t="shared" si="0"/>
        <v>0</v>
      </c>
      <c r="G33" s="21"/>
      <c r="H33" s="21">
        <v>57000</v>
      </c>
      <c r="I33" s="21"/>
      <c r="J33" s="14">
        <f t="shared" si="1"/>
        <v>57000</v>
      </c>
      <c r="K33" s="21">
        <v>500</v>
      </c>
      <c r="L33" s="21">
        <v>3000</v>
      </c>
      <c r="M33" s="21"/>
      <c r="N33" s="14">
        <f t="shared" si="2"/>
        <v>3500</v>
      </c>
      <c r="O33" s="21"/>
      <c r="P33" s="21">
        <v>2000</v>
      </c>
      <c r="Q33" s="21"/>
      <c r="R33" s="14">
        <f t="shared" si="3"/>
        <v>2000</v>
      </c>
      <c r="S33" s="15">
        <f t="shared" si="4"/>
        <v>62500</v>
      </c>
    </row>
    <row r="34" spans="2:19" s="7" customFormat="1" x14ac:dyDescent="0.5">
      <c r="B34" s="22" t="s">
        <v>32</v>
      </c>
      <c r="C34" s="23"/>
      <c r="D34" s="23"/>
      <c r="E34" s="23"/>
      <c r="F34" s="24">
        <f t="shared" si="0"/>
        <v>0</v>
      </c>
      <c r="G34" s="23"/>
      <c r="H34" s="23"/>
      <c r="I34" s="23">
        <v>0</v>
      </c>
      <c r="J34" s="24">
        <f t="shared" si="1"/>
        <v>0</v>
      </c>
      <c r="K34" s="23"/>
      <c r="L34" s="23"/>
      <c r="M34" s="23"/>
      <c r="N34" s="24">
        <f t="shared" si="2"/>
        <v>0</v>
      </c>
      <c r="O34" s="23"/>
      <c r="P34" s="23"/>
      <c r="Q34" s="23"/>
      <c r="R34" s="24">
        <f t="shared" si="3"/>
        <v>0</v>
      </c>
      <c r="S34" s="25">
        <f t="shared" si="4"/>
        <v>0</v>
      </c>
    </row>
    <row r="35" spans="2:19" s="7" customFormat="1" x14ac:dyDescent="0.5">
      <c r="B35" s="26"/>
      <c r="C35" s="27"/>
      <c r="D35" s="27"/>
      <c r="E35" s="27"/>
      <c r="F35" s="28"/>
      <c r="G35" s="27"/>
      <c r="H35" s="27"/>
      <c r="I35" s="27"/>
      <c r="J35" s="27"/>
      <c r="K35" s="27"/>
      <c r="L35" s="27"/>
      <c r="M35" s="27"/>
      <c r="N35" s="28"/>
      <c r="O35" s="27"/>
      <c r="P35" s="27"/>
      <c r="Q35" s="27"/>
      <c r="R35" s="28"/>
      <c r="S35" s="29"/>
    </row>
    <row r="36" spans="2:19" x14ac:dyDescent="0.5">
      <c r="B36" s="77" t="s">
        <v>0</v>
      </c>
      <c r="C36" s="78" t="s">
        <v>112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</row>
    <row r="37" spans="2:19" x14ac:dyDescent="0.5">
      <c r="B37" s="77"/>
      <c r="C37" s="5" t="s">
        <v>1</v>
      </c>
      <c r="D37" s="5" t="s">
        <v>2</v>
      </c>
      <c r="E37" s="5" t="s">
        <v>3</v>
      </c>
      <c r="F37" s="5" t="s">
        <v>14</v>
      </c>
      <c r="G37" s="5" t="s">
        <v>4</v>
      </c>
      <c r="H37" s="5" t="s">
        <v>5</v>
      </c>
      <c r="I37" s="5" t="s">
        <v>6</v>
      </c>
      <c r="J37" s="5" t="s">
        <v>15</v>
      </c>
      <c r="K37" s="5" t="s">
        <v>7</v>
      </c>
      <c r="L37" s="5" t="s">
        <v>8</v>
      </c>
      <c r="M37" s="5" t="s">
        <v>9</v>
      </c>
      <c r="N37" s="5" t="s">
        <v>16</v>
      </c>
      <c r="O37" s="5" t="s">
        <v>10</v>
      </c>
      <c r="P37" s="5" t="s">
        <v>11</v>
      </c>
      <c r="Q37" s="5" t="s">
        <v>12</v>
      </c>
      <c r="R37" s="6" t="s">
        <v>17</v>
      </c>
      <c r="S37" s="6" t="s">
        <v>13</v>
      </c>
    </row>
    <row r="38" spans="2:19" s="7" customFormat="1" x14ac:dyDescent="0.5">
      <c r="B38" s="30" t="s">
        <v>92</v>
      </c>
      <c r="C38" s="31">
        <f>SUM(C39:C40)</f>
        <v>0</v>
      </c>
      <c r="D38" s="31">
        <f>SUM(D39:D40)</f>
        <v>0</v>
      </c>
      <c r="E38" s="31">
        <f>SUM(E39:E40)</f>
        <v>0</v>
      </c>
      <c r="F38" s="32">
        <f t="shared" ref="F38:F63" si="5">SUM(C38:E38)</f>
        <v>0</v>
      </c>
      <c r="G38" s="31">
        <f>SUM(G39:G40)</f>
        <v>0</v>
      </c>
      <c r="H38" s="31">
        <f>SUM(H39:H40)</f>
        <v>0</v>
      </c>
      <c r="I38" s="31">
        <f>SUM(I39:I40)</f>
        <v>0</v>
      </c>
      <c r="J38" s="32">
        <f t="shared" ref="J38:J63" si="6">SUM(G38:I38)</f>
        <v>0</v>
      </c>
      <c r="K38" s="31">
        <f>SUM(K39:K40)</f>
        <v>0</v>
      </c>
      <c r="L38" s="31">
        <f>SUM(L39:L40)</f>
        <v>0</v>
      </c>
      <c r="M38" s="31">
        <f>SUM(M39:M40)</f>
        <v>0</v>
      </c>
      <c r="N38" s="32">
        <f t="shared" ref="N38:N63" si="7">SUM(K38:M38)</f>
        <v>0</v>
      </c>
      <c r="O38" s="31">
        <f>SUM(O39:O40)</f>
        <v>0</v>
      </c>
      <c r="P38" s="31">
        <f>SUM(P39:P40)</f>
        <v>0</v>
      </c>
      <c r="Q38" s="31">
        <f>SUM(Q39:Q40)</f>
        <v>0</v>
      </c>
      <c r="R38" s="32">
        <f t="shared" ref="R38:R63" si="8">SUM(O38:Q38)</f>
        <v>0</v>
      </c>
      <c r="S38" s="33">
        <f t="shared" ref="S38:S63" si="9">F38+J38+N38+R38</f>
        <v>0</v>
      </c>
    </row>
    <row r="39" spans="2:19" s="7" customFormat="1" x14ac:dyDescent="0.5">
      <c r="B39" s="20" t="s">
        <v>33</v>
      </c>
      <c r="C39" s="21"/>
      <c r="D39" s="21"/>
      <c r="E39" s="21"/>
      <c r="F39" s="32">
        <f t="shared" si="5"/>
        <v>0</v>
      </c>
      <c r="G39" s="21"/>
      <c r="H39" s="21"/>
      <c r="I39" s="21"/>
      <c r="J39" s="32">
        <f t="shared" si="6"/>
        <v>0</v>
      </c>
      <c r="K39" s="21"/>
      <c r="L39" s="21"/>
      <c r="M39" s="21"/>
      <c r="N39" s="32">
        <f t="shared" si="7"/>
        <v>0</v>
      </c>
      <c r="O39" s="21"/>
      <c r="P39" s="21"/>
      <c r="Q39" s="21"/>
      <c r="R39" s="32">
        <f t="shared" si="8"/>
        <v>0</v>
      </c>
      <c r="S39" s="33">
        <f t="shared" si="9"/>
        <v>0</v>
      </c>
    </row>
    <row r="40" spans="2:19" s="7" customFormat="1" x14ac:dyDescent="0.5">
      <c r="B40" s="20" t="s">
        <v>34</v>
      </c>
      <c r="C40" s="21"/>
      <c r="D40" s="21"/>
      <c r="E40" s="21"/>
      <c r="F40" s="32">
        <f t="shared" si="5"/>
        <v>0</v>
      </c>
      <c r="G40" s="21"/>
      <c r="H40" s="21"/>
      <c r="I40" s="21"/>
      <c r="J40" s="32">
        <f t="shared" si="6"/>
        <v>0</v>
      </c>
      <c r="K40" s="21"/>
      <c r="L40" s="21"/>
      <c r="M40" s="21"/>
      <c r="N40" s="32">
        <f t="shared" si="7"/>
        <v>0</v>
      </c>
      <c r="O40" s="21"/>
      <c r="P40" s="21"/>
      <c r="Q40" s="21"/>
      <c r="R40" s="32">
        <f t="shared" si="8"/>
        <v>0</v>
      </c>
      <c r="S40" s="33">
        <f t="shared" si="9"/>
        <v>0</v>
      </c>
    </row>
    <row r="41" spans="2:19" s="7" customFormat="1" x14ac:dyDescent="0.5">
      <c r="B41" s="34" t="s">
        <v>95</v>
      </c>
      <c r="C41" s="35">
        <f>SUM(C42:C48)</f>
        <v>0</v>
      </c>
      <c r="D41" s="35">
        <f>SUM(D42:D48)</f>
        <v>664973.47</v>
      </c>
      <c r="E41" s="35">
        <f>SUM(E42:E48)</f>
        <v>0</v>
      </c>
      <c r="F41" s="32">
        <f t="shared" si="5"/>
        <v>664973.47</v>
      </c>
      <c r="G41" s="35">
        <f>SUM(G42:G48)</f>
        <v>0</v>
      </c>
      <c r="H41" s="35">
        <f>SUM(H42:H48)</f>
        <v>2503643.11</v>
      </c>
      <c r="I41" s="35">
        <f>SUM(I42:I48)</f>
        <v>1031570.49</v>
      </c>
      <c r="J41" s="32">
        <f t="shared" si="6"/>
        <v>3535213.5999999996</v>
      </c>
      <c r="K41" s="35">
        <f>SUM(K42:K48)</f>
        <v>813302.14</v>
      </c>
      <c r="L41" s="35">
        <f>SUM(L42:L48)</f>
        <v>950079.85000000009</v>
      </c>
      <c r="M41" s="35">
        <f>SUM(M42:M48)</f>
        <v>888379.86</v>
      </c>
      <c r="N41" s="32">
        <f t="shared" si="7"/>
        <v>2651761.85</v>
      </c>
      <c r="O41" s="35">
        <f>SUM(O42:O48)</f>
        <v>795978.4</v>
      </c>
      <c r="P41" s="35">
        <f>SUM(P42:P48)</f>
        <v>830257.76</v>
      </c>
      <c r="Q41" s="35">
        <f>SUM(Q42:Q48)</f>
        <v>1613854.11</v>
      </c>
      <c r="R41" s="32">
        <f t="shared" si="8"/>
        <v>3240090.2700000005</v>
      </c>
      <c r="S41" s="33">
        <f t="shared" si="9"/>
        <v>10092039.190000001</v>
      </c>
    </row>
    <row r="42" spans="2:19" s="7" customFormat="1" x14ac:dyDescent="0.5">
      <c r="B42" s="16" t="s">
        <v>71</v>
      </c>
      <c r="C42" s="18"/>
      <c r="D42" s="18">
        <v>249680.98</v>
      </c>
      <c r="E42" s="18"/>
      <c r="F42" s="32">
        <f t="shared" si="5"/>
        <v>249680.98</v>
      </c>
      <c r="G42" s="18"/>
      <c r="H42" s="18">
        <v>850673.84</v>
      </c>
      <c r="I42" s="18">
        <v>273634.93</v>
      </c>
      <c r="J42" s="32">
        <f t="shared" si="6"/>
        <v>1124308.77</v>
      </c>
      <c r="K42" s="18">
        <v>308630.61</v>
      </c>
      <c r="L42" s="18">
        <v>310520.65999999997</v>
      </c>
      <c r="M42" s="18">
        <v>251998.67</v>
      </c>
      <c r="N42" s="32">
        <f t="shared" si="7"/>
        <v>871149.94000000006</v>
      </c>
      <c r="O42" s="18">
        <v>318767.35999999999</v>
      </c>
      <c r="P42" s="18">
        <v>268864.95</v>
      </c>
      <c r="Q42" s="18">
        <v>584735.13</v>
      </c>
      <c r="R42" s="32">
        <f t="shared" si="8"/>
        <v>1172367.44</v>
      </c>
      <c r="S42" s="33">
        <f t="shared" si="9"/>
        <v>3417507.13</v>
      </c>
    </row>
    <row r="43" spans="2:19" s="7" customFormat="1" x14ac:dyDescent="0.5">
      <c r="B43" s="16" t="s">
        <v>35</v>
      </c>
      <c r="C43" s="18"/>
      <c r="D43" s="18">
        <v>0</v>
      </c>
      <c r="E43" s="18">
        <v>0</v>
      </c>
      <c r="F43" s="32">
        <f t="shared" si="5"/>
        <v>0</v>
      </c>
      <c r="G43" s="18"/>
      <c r="H43" s="18">
        <v>79241.039999999994</v>
      </c>
      <c r="I43" s="18">
        <v>28061.05</v>
      </c>
      <c r="J43" s="32">
        <f t="shared" si="6"/>
        <v>107302.09</v>
      </c>
      <c r="K43" s="18"/>
      <c r="L43" s="18"/>
      <c r="M43" s="18">
        <v>50140.33</v>
      </c>
      <c r="N43" s="32">
        <f t="shared" si="7"/>
        <v>50140.33</v>
      </c>
      <c r="O43" s="18">
        <v>10760.09</v>
      </c>
      <c r="P43" s="18">
        <v>20956.669999999998</v>
      </c>
      <c r="Q43" s="18">
        <v>15370.23</v>
      </c>
      <c r="R43" s="32">
        <f t="shared" si="8"/>
        <v>47086.99</v>
      </c>
      <c r="S43" s="33">
        <f t="shared" si="9"/>
        <v>204529.40999999997</v>
      </c>
    </row>
    <row r="44" spans="2:19" s="7" customFormat="1" x14ac:dyDescent="0.5">
      <c r="B44" s="16" t="s">
        <v>36</v>
      </c>
      <c r="C44" s="18"/>
      <c r="D44" s="18">
        <v>230403.16</v>
      </c>
      <c r="E44" s="18"/>
      <c r="F44" s="32">
        <f t="shared" si="5"/>
        <v>230403.16</v>
      </c>
      <c r="G44" s="18"/>
      <c r="H44" s="18">
        <v>778469.63</v>
      </c>
      <c r="I44" s="18">
        <v>332171.46999999997</v>
      </c>
      <c r="J44" s="32">
        <f t="shared" si="6"/>
        <v>1110641.1000000001</v>
      </c>
      <c r="K44" s="18">
        <v>255804.89</v>
      </c>
      <c r="L44" s="18">
        <v>320099.33</v>
      </c>
      <c r="M44" s="18">
        <v>266768.57</v>
      </c>
      <c r="N44" s="32">
        <f t="shared" si="7"/>
        <v>842672.79</v>
      </c>
      <c r="O44" s="18">
        <v>325454.03000000003</v>
      </c>
      <c r="P44" s="18">
        <v>286156.76</v>
      </c>
      <c r="Q44" s="18">
        <v>593921.76</v>
      </c>
      <c r="R44" s="32">
        <f t="shared" si="8"/>
        <v>1205532.55</v>
      </c>
      <c r="S44" s="33">
        <f t="shared" si="9"/>
        <v>3389249.5999999996</v>
      </c>
    </row>
    <row r="45" spans="2:19" s="7" customFormat="1" x14ac:dyDescent="0.5">
      <c r="B45" s="16" t="s">
        <v>37</v>
      </c>
      <c r="C45" s="18"/>
      <c r="D45" s="18">
        <v>106714.33</v>
      </c>
      <c r="E45" s="18"/>
      <c r="F45" s="32">
        <f t="shared" si="5"/>
        <v>106714.33</v>
      </c>
      <c r="G45" s="18"/>
      <c r="H45" s="18">
        <v>403193.59999999998</v>
      </c>
      <c r="I45" s="18">
        <v>138034.4</v>
      </c>
      <c r="J45" s="32">
        <f t="shared" si="6"/>
        <v>541228</v>
      </c>
      <c r="K45" s="18">
        <v>149899.64000000001</v>
      </c>
      <c r="L45" s="18">
        <v>208286.07</v>
      </c>
      <c r="M45" s="18">
        <v>103247.34</v>
      </c>
      <c r="N45" s="32">
        <f t="shared" si="7"/>
        <v>461433.05000000005</v>
      </c>
      <c r="O45" s="18">
        <v>140996.92000000001</v>
      </c>
      <c r="P45" s="18">
        <v>100797.37</v>
      </c>
      <c r="Q45" s="18">
        <v>224486.59</v>
      </c>
      <c r="R45" s="32">
        <f t="shared" si="8"/>
        <v>466280.88</v>
      </c>
      <c r="S45" s="33">
        <f t="shared" si="9"/>
        <v>1575656.2599999998</v>
      </c>
    </row>
    <row r="46" spans="2:19" s="7" customFormat="1" x14ac:dyDescent="0.5">
      <c r="B46" s="16" t="s">
        <v>38</v>
      </c>
      <c r="C46" s="18"/>
      <c r="D46" s="18"/>
      <c r="E46" s="18"/>
      <c r="F46" s="32">
        <f t="shared" si="5"/>
        <v>0</v>
      </c>
      <c r="G46" s="18"/>
      <c r="H46" s="18"/>
      <c r="I46" s="18">
        <v>214400.64000000001</v>
      </c>
      <c r="J46" s="32">
        <f t="shared" si="6"/>
        <v>214400.64000000001</v>
      </c>
      <c r="K46" s="18"/>
      <c r="L46" s="18">
        <v>59228.79</v>
      </c>
      <c r="M46" s="18">
        <v>109296.95</v>
      </c>
      <c r="N46" s="32">
        <f t="shared" si="7"/>
        <v>168525.74</v>
      </c>
      <c r="O46" s="18"/>
      <c r="P46" s="18">
        <v>116244.01</v>
      </c>
      <c r="Q46" s="18">
        <v>103429.4</v>
      </c>
      <c r="R46" s="32">
        <f t="shared" si="8"/>
        <v>219673.40999999997</v>
      </c>
      <c r="S46" s="33">
        <f t="shared" si="9"/>
        <v>602599.79</v>
      </c>
    </row>
    <row r="47" spans="2:19" s="7" customFormat="1" x14ac:dyDescent="0.5">
      <c r="B47" s="16" t="s">
        <v>39</v>
      </c>
      <c r="C47" s="18"/>
      <c r="D47" s="18">
        <v>78175</v>
      </c>
      <c r="E47" s="18"/>
      <c r="F47" s="32">
        <f t="shared" si="5"/>
        <v>78175</v>
      </c>
      <c r="G47" s="18">
        <v>0</v>
      </c>
      <c r="H47" s="18">
        <v>392065</v>
      </c>
      <c r="I47" s="18">
        <v>45268</v>
      </c>
      <c r="J47" s="32">
        <f t="shared" si="6"/>
        <v>437333</v>
      </c>
      <c r="K47" s="18">
        <v>96944</v>
      </c>
      <c r="L47" s="18">
        <v>51945</v>
      </c>
      <c r="M47" s="18">
        <v>101673</v>
      </c>
      <c r="N47" s="32">
        <f t="shared" si="7"/>
        <v>250562</v>
      </c>
      <c r="O47" s="18"/>
      <c r="P47" s="18">
        <v>37238</v>
      </c>
      <c r="Q47" s="18">
        <v>91911</v>
      </c>
      <c r="R47" s="32">
        <f t="shared" si="8"/>
        <v>129149</v>
      </c>
      <c r="S47" s="33">
        <f t="shared" si="9"/>
        <v>895219</v>
      </c>
    </row>
    <row r="48" spans="2:19" s="7" customFormat="1" x14ac:dyDescent="0.5">
      <c r="B48" s="16" t="s">
        <v>72</v>
      </c>
      <c r="C48" s="18"/>
      <c r="D48" s="18"/>
      <c r="E48" s="18"/>
      <c r="F48" s="32">
        <f t="shared" si="5"/>
        <v>0</v>
      </c>
      <c r="G48" s="18"/>
      <c r="H48" s="18"/>
      <c r="I48" s="18">
        <v>0</v>
      </c>
      <c r="J48" s="32">
        <f t="shared" si="6"/>
        <v>0</v>
      </c>
      <c r="K48" s="18">
        <v>2023</v>
      </c>
      <c r="L48" s="18"/>
      <c r="M48" s="18">
        <v>5255</v>
      </c>
      <c r="N48" s="32">
        <f t="shared" si="7"/>
        <v>7278</v>
      </c>
      <c r="O48" s="18"/>
      <c r="P48" s="18"/>
      <c r="Q48" s="18"/>
      <c r="R48" s="32">
        <f t="shared" si="8"/>
        <v>0</v>
      </c>
      <c r="S48" s="33">
        <f t="shared" si="9"/>
        <v>7278</v>
      </c>
    </row>
    <row r="49" spans="2:19" s="7" customFormat="1" x14ac:dyDescent="0.5">
      <c r="B49" s="36" t="s">
        <v>96</v>
      </c>
      <c r="C49" s="35">
        <f>SUM(C50:C53)</f>
        <v>0</v>
      </c>
      <c r="D49" s="35">
        <f>SUM(D50:D53)</f>
        <v>15899.65</v>
      </c>
      <c r="E49" s="35">
        <f>SUM(E50:E53)</f>
        <v>0</v>
      </c>
      <c r="F49" s="32">
        <f t="shared" si="5"/>
        <v>15899.65</v>
      </c>
      <c r="G49" s="35">
        <f>SUM(G50:G53)</f>
        <v>0</v>
      </c>
      <c r="H49" s="35">
        <f>SUM(H50:H53)</f>
        <v>1968407.51</v>
      </c>
      <c r="I49" s="35">
        <f>SUM(I50:I53)</f>
        <v>1351464.34</v>
      </c>
      <c r="J49" s="32">
        <f t="shared" si="6"/>
        <v>3319871.85</v>
      </c>
      <c r="K49" s="35">
        <f>SUM(K50:K53)</f>
        <v>0</v>
      </c>
      <c r="L49" s="35">
        <f>SUM(L50:L53)</f>
        <v>714552.99</v>
      </c>
      <c r="M49" s="35">
        <f>SUM(M50:M53)</f>
        <v>1327584.6300000001</v>
      </c>
      <c r="N49" s="32">
        <f t="shared" si="7"/>
        <v>2042137.62</v>
      </c>
      <c r="O49" s="35">
        <f>SUM(O50:O53)</f>
        <v>0</v>
      </c>
      <c r="P49" s="35">
        <f>SUM(P50:P53)</f>
        <v>1386094.59</v>
      </c>
      <c r="Q49" s="35">
        <f>SUM(Q50:Q53)</f>
        <v>1407963.92</v>
      </c>
      <c r="R49" s="32">
        <f t="shared" si="8"/>
        <v>2794058.51</v>
      </c>
      <c r="S49" s="33">
        <f t="shared" si="9"/>
        <v>8171967.6299999999</v>
      </c>
    </row>
    <row r="50" spans="2:19" s="7" customFormat="1" x14ac:dyDescent="0.5">
      <c r="B50" s="16" t="s">
        <v>103</v>
      </c>
      <c r="C50" s="18"/>
      <c r="D50" s="18"/>
      <c r="E50" s="18"/>
      <c r="F50" s="32">
        <f t="shared" si="5"/>
        <v>0</v>
      </c>
      <c r="G50" s="18"/>
      <c r="H50" s="18"/>
      <c r="I50" s="18"/>
      <c r="J50" s="32">
        <f t="shared" si="6"/>
        <v>0</v>
      </c>
      <c r="K50" s="18"/>
      <c r="L50" s="18"/>
      <c r="M50" s="18"/>
      <c r="N50" s="32">
        <f t="shared" si="7"/>
        <v>0</v>
      </c>
      <c r="O50" s="18"/>
      <c r="P50" s="18"/>
      <c r="Q50" s="18"/>
      <c r="R50" s="32">
        <f t="shared" si="8"/>
        <v>0</v>
      </c>
      <c r="S50" s="33">
        <f t="shared" si="9"/>
        <v>0</v>
      </c>
    </row>
    <row r="51" spans="2:19" s="7" customFormat="1" x14ac:dyDescent="0.5">
      <c r="B51" s="16" t="s">
        <v>104</v>
      </c>
      <c r="C51" s="37"/>
      <c r="D51" s="37">
        <v>0</v>
      </c>
      <c r="E51" s="37"/>
      <c r="F51" s="32">
        <f t="shared" si="5"/>
        <v>0</v>
      </c>
      <c r="G51" s="37"/>
      <c r="H51" s="37">
        <v>1952977.86</v>
      </c>
      <c r="I51" s="37">
        <v>1335443.07</v>
      </c>
      <c r="J51" s="32">
        <f t="shared" si="6"/>
        <v>3288420.93</v>
      </c>
      <c r="K51" s="37"/>
      <c r="L51" s="37">
        <v>702790.71</v>
      </c>
      <c r="M51" s="37">
        <v>1306049.3700000001</v>
      </c>
      <c r="N51" s="32">
        <f t="shared" si="7"/>
        <v>2008840.08</v>
      </c>
      <c r="O51" s="37"/>
      <c r="P51" s="37">
        <v>1375534.55</v>
      </c>
      <c r="Q51" s="37">
        <v>1358805.51</v>
      </c>
      <c r="R51" s="32">
        <f t="shared" si="8"/>
        <v>2734340.06</v>
      </c>
      <c r="S51" s="33">
        <f t="shared" si="9"/>
        <v>8031601.0700000003</v>
      </c>
    </row>
    <row r="52" spans="2:19" s="7" customFormat="1" x14ac:dyDescent="0.5">
      <c r="B52" s="16" t="s">
        <v>73</v>
      </c>
      <c r="C52" s="18"/>
      <c r="D52" s="18"/>
      <c r="E52" s="18"/>
      <c r="F52" s="32">
        <f t="shared" si="5"/>
        <v>0</v>
      </c>
      <c r="G52" s="18"/>
      <c r="H52" s="18">
        <v>0</v>
      </c>
      <c r="I52" s="18">
        <v>16021.27</v>
      </c>
      <c r="J52" s="32">
        <f t="shared" si="6"/>
        <v>16021.27</v>
      </c>
      <c r="K52" s="18"/>
      <c r="L52" s="18"/>
      <c r="M52" s="18">
        <v>21535.26</v>
      </c>
      <c r="N52" s="32">
        <f t="shared" si="7"/>
        <v>21535.26</v>
      </c>
      <c r="O52" s="18"/>
      <c r="P52" s="18"/>
      <c r="Q52" s="18">
        <v>49158.41</v>
      </c>
      <c r="R52" s="32">
        <f t="shared" si="8"/>
        <v>49158.41</v>
      </c>
      <c r="S52" s="33">
        <f t="shared" si="9"/>
        <v>86714.94</v>
      </c>
    </row>
    <row r="53" spans="2:19" s="7" customFormat="1" x14ac:dyDescent="0.5">
      <c r="B53" s="16" t="s">
        <v>93</v>
      </c>
      <c r="C53" s="18"/>
      <c r="D53" s="18">
        <v>15899.65</v>
      </c>
      <c r="E53" s="18"/>
      <c r="F53" s="32">
        <f t="shared" si="5"/>
        <v>15899.65</v>
      </c>
      <c r="G53" s="18"/>
      <c r="H53" s="18">
        <v>15429.65</v>
      </c>
      <c r="I53" s="18">
        <v>0</v>
      </c>
      <c r="J53" s="32">
        <f t="shared" si="6"/>
        <v>15429.65</v>
      </c>
      <c r="K53" s="18"/>
      <c r="L53" s="18">
        <v>11762.28</v>
      </c>
      <c r="M53" s="18"/>
      <c r="N53" s="32">
        <f t="shared" si="7"/>
        <v>11762.28</v>
      </c>
      <c r="O53" s="18"/>
      <c r="P53" s="18">
        <v>10560.04</v>
      </c>
      <c r="Q53" s="18"/>
      <c r="R53" s="32">
        <f t="shared" si="8"/>
        <v>10560.04</v>
      </c>
      <c r="S53" s="33">
        <f t="shared" si="9"/>
        <v>53651.62</v>
      </c>
    </row>
    <row r="54" spans="2:19" s="7" customFormat="1" x14ac:dyDescent="0.5">
      <c r="B54" s="36" t="s">
        <v>74</v>
      </c>
      <c r="C54" s="38">
        <f>SUM(C55:C56)</f>
        <v>0</v>
      </c>
      <c r="D54" s="38">
        <f>SUM(D55:D56)</f>
        <v>6452686</v>
      </c>
      <c r="E54" s="38">
        <f>SUM(E55:E56)</f>
        <v>20750</v>
      </c>
      <c r="F54" s="32">
        <f t="shared" si="5"/>
        <v>6473436</v>
      </c>
      <c r="G54" s="38">
        <f>SUM(G55:G56)</f>
        <v>2219490</v>
      </c>
      <c r="H54" s="38">
        <f>SUM(H55:H56)</f>
        <v>3474887</v>
      </c>
      <c r="I54" s="38">
        <f>SUM(I55:I56)</f>
        <v>800</v>
      </c>
      <c r="J54" s="32">
        <f t="shared" si="6"/>
        <v>5695177</v>
      </c>
      <c r="K54" s="38">
        <f>SUM(K55:K56)</f>
        <v>2026930</v>
      </c>
      <c r="L54" s="38">
        <f>SUM(L55:L56)</f>
        <v>1327372</v>
      </c>
      <c r="M54" s="38">
        <f>SUM(M55:M56)</f>
        <v>4268800</v>
      </c>
      <c r="N54" s="32">
        <f t="shared" si="7"/>
        <v>7623102</v>
      </c>
      <c r="O54" s="38">
        <f>SUM(O55:O56)</f>
        <v>800</v>
      </c>
      <c r="P54" s="38">
        <f>SUM(P55:P56)</f>
        <v>973636</v>
      </c>
      <c r="Q54" s="38">
        <f>SUM(Q55:Q56)</f>
        <v>52370</v>
      </c>
      <c r="R54" s="32">
        <f t="shared" si="8"/>
        <v>1026806</v>
      </c>
      <c r="S54" s="33">
        <f t="shared" si="9"/>
        <v>20818521</v>
      </c>
    </row>
    <row r="55" spans="2:19" s="7" customFormat="1" x14ac:dyDescent="0.5">
      <c r="B55" s="16" t="s">
        <v>75</v>
      </c>
      <c r="C55" s="21"/>
      <c r="D55" s="21">
        <v>3309226</v>
      </c>
      <c r="E55" s="21"/>
      <c r="F55" s="32">
        <f t="shared" si="5"/>
        <v>3309226</v>
      </c>
      <c r="G55" s="21">
        <v>0</v>
      </c>
      <c r="H55" s="21">
        <v>3441587</v>
      </c>
      <c r="I55" s="21"/>
      <c r="J55" s="32">
        <f t="shared" si="6"/>
        <v>3441587</v>
      </c>
      <c r="K55" s="21">
        <v>2026930</v>
      </c>
      <c r="L55" s="21">
        <v>847072</v>
      </c>
      <c r="M55" s="21"/>
      <c r="N55" s="32">
        <f t="shared" si="7"/>
        <v>2874002</v>
      </c>
      <c r="O55" s="21"/>
      <c r="P55" s="21">
        <v>763496</v>
      </c>
      <c r="Q55" s="21"/>
      <c r="R55" s="32">
        <f t="shared" si="8"/>
        <v>763496</v>
      </c>
      <c r="S55" s="33">
        <f t="shared" si="9"/>
        <v>10388311</v>
      </c>
    </row>
    <row r="56" spans="2:19" s="7" customFormat="1" x14ac:dyDescent="0.5">
      <c r="B56" s="16" t="s">
        <v>76</v>
      </c>
      <c r="C56" s="21"/>
      <c r="D56" s="21">
        <v>3143460</v>
      </c>
      <c r="E56" s="21">
        <v>20750</v>
      </c>
      <c r="F56" s="32">
        <f t="shared" si="5"/>
        <v>3164210</v>
      </c>
      <c r="G56" s="21">
        <v>2219490</v>
      </c>
      <c r="H56" s="21">
        <v>33300</v>
      </c>
      <c r="I56" s="21">
        <v>800</v>
      </c>
      <c r="J56" s="32">
        <f t="shared" si="6"/>
        <v>2253590</v>
      </c>
      <c r="K56" s="21"/>
      <c r="L56" s="21">
        <v>480300</v>
      </c>
      <c r="M56" s="21">
        <v>4268800</v>
      </c>
      <c r="N56" s="32">
        <f t="shared" si="7"/>
        <v>4749100</v>
      </c>
      <c r="O56" s="21">
        <v>800</v>
      </c>
      <c r="P56" s="21">
        <v>210140</v>
      </c>
      <c r="Q56" s="21">
        <v>52370</v>
      </c>
      <c r="R56" s="32">
        <f t="shared" si="8"/>
        <v>263310</v>
      </c>
      <c r="S56" s="33">
        <f t="shared" si="9"/>
        <v>10430210</v>
      </c>
    </row>
    <row r="57" spans="2:19" s="39" customFormat="1" x14ac:dyDescent="0.5">
      <c r="B57" s="40" t="s">
        <v>77</v>
      </c>
      <c r="C57" s="41">
        <f>C8+C41+C49+C54</f>
        <v>14739</v>
      </c>
      <c r="D57" s="41">
        <f>D8+D41+D49+D54</f>
        <v>7159169.5199999996</v>
      </c>
      <c r="E57" s="41">
        <f>E8+E41+E49+E54</f>
        <v>58093</v>
      </c>
      <c r="F57" s="32">
        <f t="shared" si="5"/>
        <v>7232001.5199999996</v>
      </c>
      <c r="G57" s="41">
        <f>G8+G41+G49+G54</f>
        <v>2288521</v>
      </c>
      <c r="H57" s="41">
        <f>H8+H41+H49+H54</f>
        <v>8284967.6200000001</v>
      </c>
      <c r="I57" s="41">
        <f>I8+I41+I49+I54</f>
        <v>2643491.23</v>
      </c>
      <c r="J57" s="32">
        <f t="shared" si="6"/>
        <v>13216979.850000001</v>
      </c>
      <c r="K57" s="41">
        <f>K8+K41+K49+K54</f>
        <v>2966593.15</v>
      </c>
      <c r="L57" s="41">
        <f>L8+L41+L49+L54</f>
        <v>3365361.84</v>
      </c>
      <c r="M57" s="41">
        <f>M8+M41+M49+M54</f>
        <v>6747158.1100000003</v>
      </c>
      <c r="N57" s="32">
        <f t="shared" si="7"/>
        <v>13079113.100000001</v>
      </c>
      <c r="O57" s="41">
        <f>O8+O41+O49+O54</f>
        <v>938458.2</v>
      </c>
      <c r="P57" s="41">
        <f>P8+P41+P49+P54</f>
        <v>3411124.75</v>
      </c>
      <c r="Q57" s="41">
        <f>Q8+Q41+Q49+Q54</f>
        <v>3153755.3600000003</v>
      </c>
      <c r="R57" s="32">
        <f t="shared" si="8"/>
        <v>7503338.3100000005</v>
      </c>
      <c r="S57" s="33">
        <f t="shared" si="9"/>
        <v>41031432.780000001</v>
      </c>
    </row>
    <row r="58" spans="2:19" s="7" customFormat="1" x14ac:dyDescent="0.5">
      <c r="B58" s="42" t="s">
        <v>78</v>
      </c>
      <c r="C58" s="43"/>
      <c r="D58" s="43"/>
      <c r="E58" s="43"/>
      <c r="F58" s="32">
        <f t="shared" si="5"/>
        <v>0</v>
      </c>
      <c r="G58" s="43"/>
      <c r="H58" s="43"/>
      <c r="I58" s="43"/>
      <c r="J58" s="32">
        <f t="shared" si="6"/>
        <v>0</v>
      </c>
      <c r="K58" s="43"/>
      <c r="L58" s="43"/>
      <c r="M58" s="43"/>
      <c r="N58" s="32">
        <f t="shared" si="7"/>
        <v>0</v>
      </c>
      <c r="O58" s="43"/>
      <c r="P58" s="43"/>
      <c r="Q58" s="43"/>
      <c r="R58" s="32">
        <f t="shared" si="8"/>
        <v>0</v>
      </c>
      <c r="S58" s="33">
        <f t="shared" si="9"/>
        <v>0</v>
      </c>
    </row>
    <row r="59" spans="2:19" x14ac:dyDescent="0.5">
      <c r="B59" s="34" t="s">
        <v>40</v>
      </c>
      <c r="C59" s="38">
        <f>SUM(C60:C61)</f>
        <v>0</v>
      </c>
      <c r="D59" s="38">
        <f>SUM(D60:D61)</f>
        <v>0</v>
      </c>
      <c r="E59" s="38">
        <f>SUM(E60:E61)</f>
        <v>0</v>
      </c>
      <c r="F59" s="32">
        <f t="shared" si="5"/>
        <v>0</v>
      </c>
      <c r="G59" s="38">
        <f>SUM(G60:G61)</f>
        <v>0</v>
      </c>
      <c r="H59" s="38">
        <f>SUM(H60:H61)</f>
        <v>0</v>
      </c>
      <c r="I59" s="38">
        <f>SUM(I60:I61)</f>
        <v>0</v>
      </c>
      <c r="J59" s="32">
        <f t="shared" si="6"/>
        <v>0</v>
      </c>
      <c r="K59" s="38">
        <f>SUM(K60:K61)</f>
        <v>0</v>
      </c>
      <c r="L59" s="38">
        <f>SUM(L60:L61)</f>
        <v>0</v>
      </c>
      <c r="M59" s="38">
        <f>SUM(M60:M61)</f>
        <v>0</v>
      </c>
      <c r="N59" s="32">
        <f t="shared" si="7"/>
        <v>0</v>
      </c>
      <c r="O59" s="38">
        <f>SUM(O60:O61)</f>
        <v>0</v>
      </c>
      <c r="P59" s="38">
        <f>SUM(P60:P61)</f>
        <v>0</v>
      </c>
      <c r="Q59" s="38">
        <f>SUM(Q60:Q61)</f>
        <v>0</v>
      </c>
      <c r="R59" s="32">
        <f t="shared" si="8"/>
        <v>0</v>
      </c>
      <c r="S59" s="33">
        <f t="shared" si="9"/>
        <v>0</v>
      </c>
    </row>
    <row r="60" spans="2:19" x14ac:dyDescent="0.5">
      <c r="B60" s="20" t="s">
        <v>97</v>
      </c>
      <c r="C60" s="21"/>
      <c r="D60" s="21"/>
      <c r="E60" s="21"/>
      <c r="F60" s="32">
        <f t="shared" si="5"/>
        <v>0</v>
      </c>
      <c r="G60" s="21"/>
      <c r="H60" s="21"/>
      <c r="I60" s="21"/>
      <c r="J60" s="32">
        <f t="shared" si="6"/>
        <v>0</v>
      </c>
      <c r="K60" s="21"/>
      <c r="L60" s="21"/>
      <c r="M60" s="21"/>
      <c r="N60" s="32">
        <f t="shared" si="7"/>
        <v>0</v>
      </c>
      <c r="O60" s="21"/>
      <c r="P60" s="21"/>
      <c r="Q60" s="21"/>
      <c r="R60" s="32">
        <f t="shared" si="8"/>
        <v>0</v>
      </c>
      <c r="S60" s="33">
        <f t="shared" si="9"/>
        <v>0</v>
      </c>
    </row>
    <row r="61" spans="2:19" x14ac:dyDescent="0.5">
      <c r="B61" s="20" t="s">
        <v>98</v>
      </c>
      <c r="C61" s="21"/>
      <c r="D61" s="21"/>
      <c r="E61" s="21"/>
      <c r="F61" s="32">
        <f t="shared" si="5"/>
        <v>0</v>
      </c>
      <c r="G61" s="21"/>
      <c r="H61" s="21"/>
      <c r="I61" s="21"/>
      <c r="J61" s="32">
        <f t="shared" si="6"/>
        <v>0</v>
      </c>
      <c r="K61" s="21"/>
      <c r="L61" s="21"/>
      <c r="M61" s="21"/>
      <c r="N61" s="32">
        <f t="shared" si="7"/>
        <v>0</v>
      </c>
      <c r="O61" s="21"/>
      <c r="P61" s="21"/>
      <c r="Q61" s="21"/>
      <c r="R61" s="32">
        <f t="shared" si="8"/>
        <v>0</v>
      </c>
      <c r="S61" s="44">
        <f t="shared" si="9"/>
        <v>0</v>
      </c>
    </row>
    <row r="62" spans="2:19" x14ac:dyDescent="0.5">
      <c r="B62" s="34" t="s">
        <v>41</v>
      </c>
      <c r="C62" s="38"/>
      <c r="D62" s="38"/>
      <c r="E62" s="38"/>
      <c r="F62" s="32">
        <f t="shared" si="5"/>
        <v>0</v>
      </c>
      <c r="G62" s="38"/>
      <c r="H62" s="38"/>
      <c r="I62" s="38"/>
      <c r="J62" s="32">
        <f t="shared" si="6"/>
        <v>0</v>
      </c>
      <c r="K62" s="38"/>
      <c r="L62" s="38"/>
      <c r="M62" s="38"/>
      <c r="N62" s="32">
        <f t="shared" si="7"/>
        <v>0</v>
      </c>
      <c r="O62" s="38"/>
      <c r="P62" s="38"/>
      <c r="Q62" s="38"/>
      <c r="R62" s="32">
        <f t="shared" si="8"/>
        <v>0</v>
      </c>
      <c r="S62" s="33">
        <f t="shared" si="9"/>
        <v>0</v>
      </c>
    </row>
    <row r="63" spans="2:19" s="45" customFormat="1" ht="22.5" thickBot="1" x14ac:dyDescent="0.55000000000000004">
      <c r="B63" s="46" t="s">
        <v>94</v>
      </c>
      <c r="C63" s="47">
        <f>C57+C58+C59+C62</f>
        <v>14739</v>
      </c>
      <c r="D63" s="47">
        <f>D57+D58+D59+D62</f>
        <v>7159169.5199999996</v>
      </c>
      <c r="E63" s="47">
        <f>E57+E58+E59+E62</f>
        <v>58093</v>
      </c>
      <c r="F63" s="32">
        <f t="shared" si="5"/>
        <v>7232001.5199999996</v>
      </c>
      <c r="G63" s="47">
        <f>G57+G58+G59+G62</f>
        <v>2288521</v>
      </c>
      <c r="H63" s="47">
        <f>H57+H58+H59+H62</f>
        <v>8284967.6200000001</v>
      </c>
      <c r="I63" s="47">
        <f>I57+I58+I59+I62</f>
        <v>2643491.23</v>
      </c>
      <c r="J63" s="32">
        <f t="shared" si="6"/>
        <v>13216979.850000001</v>
      </c>
      <c r="K63" s="47">
        <f>K57+K58+K59+K62</f>
        <v>2966593.15</v>
      </c>
      <c r="L63" s="47">
        <f>L57+L58+L59+L62</f>
        <v>3365361.84</v>
      </c>
      <c r="M63" s="47">
        <f>M57+M58+M59+M62</f>
        <v>6747158.1100000003</v>
      </c>
      <c r="N63" s="32">
        <f t="shared" si="7"/>
        <v>13079113.100000001</v>
      </c>
      <c r="O63" s="47">
        <f>O57+O58+O59+O62</f>
        <v>938458.2</v>
      </c>
      <c r="P63" s="47">
        <f>P57+P58+P59+P62</f>
        <v>3411124.75</v>
      </c>
      <c r="Q63" s="47">
        <f>Q57+Q58+Q59+Q62</f>
        <v>3153755.3600000003</v>
      </c>
      <c r="R63" s="32">
        <f t="shared" si="8"/>
        <v>7503338.3100000005</v>
      </c>
      <c r="S63" s="33">
        <f t="shared" si="9"/>
        <v>41031432.780000001</v>
      </c>
    </row>
    <row r="64" spans="2:19" s="45" customFormat="1" ht="22.5" thickTop="1" x14ac:dyDescent="0.5">
      <c r="B64" s="48"/>
      <c r="C64" s="49"/>
      <c r="D64" s="49"/>
      <c r="E64" s="49"/>
      <c r="F64" s="50"/>
      <c r="G64" s="49"/>
      <c r="H64" s="49"/>
      <c r="I64" s="49"/>
      <c r="J64" s="51"/>
      <c r="K64" s="49"/>
      <c r="L64" s="49"/>
      <c r="M64" s="49"/>
      <c r="N64" s="50"/>
      <c r="O64" s="49"/>
      <c r="P64" s="49"/>
      <c r="Q64" s="49"/>
      <c r="R64" s="50"/>
      <c r="S64" s="52"/>
    </row>
    <row r="65" spans="1:19" x14ac:dyDescent="0.5">
      <c r="A65" s="2"/>
      <c r="B65" s="68" t="s">
        <v>107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1:19" x14ac:dyDescent="0.5">
      <c r="A66" s="2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5">
      <c r="A67" s="2"/>
      <c r="B67" s="53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</sheetData>
  <mergeCells count="9">
    <mergeCell ref="B65:S65"/>
    <mergeCell ref="B6:B7"/>
    <mergeCell ref="C6:S6"/>
    <mergeCell ref="B1:S1"/>
    <mergeCell ref="B2:S2"/>
    <mergeCell ref="B3:S3"/>
    <mergeCell ref="B4:S4"/>
    <mergeCell ref="B36:B37"/>
    <mergeCell ref="C36:S36"/>
  </mergeCells>
  <pageMargins left="0.19685039370078741" right="0.19685039370078741" top="0.19685039370078741" bottom="0.19685039370078741" header="0.31496062992125984" footer="0.31496062992125984"/>
  <pageSetup paperSize="9" scale="54" orientation="landscape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topLeftCell="B1" zoomScaleNormal="150" zoomScaleSheetLayoutView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F9" sqref="F9"/>
    </sheetView>
  </sheetViews>
  <sheetFormatPr defaultColWidth="9" defaultRowHeight="21.75" x14ac:dyDescent="0.5"/>
  <cols>
    <col min="1" max="1" width="2.75" style="1" customWidth="1"/>
    <col min="2" max="2" width="32.125" style="1" customWidth="1"/>
    <col min="3" max="5" width="12" style="1" bestFit="1" customWidth="1"/>
    <col min="6" max="6" width="11.75" style="1" bestFit="1" customWidth="1"/>
    <col min="7" max="8" width="12" style="1" bestFit="1" customWidth="1"/>
    <col min="9" max="9" width="12.875" style="1" bestFit="1" customWidth="1"/>
    <col min="10" max="10" width="11.75" style="1" bestFit="1" customWidth="1"/>
    <col min="11" max="13" width="12" style="1" bestFit="1" customWidth="1"/>
    <col min="14" max="14" width="10.875" style="1" bestFit="1" customWidth="1"/>
    <col min="15" max="17" width="12" style="1" bestFit="1" customWidth="1"/>
    <col min="18" max="18" width="11.75" style="1" bestFit="1" customWidth="1"/>
    <col min="19" max="19" width="12.25" style="1" bestFit="1" customWidth="1"/>
    <col min="20" max="16384" width="9" style="1"/>
  </cols>
  <sheetData>
    <row r="1" spans="1:19" x14ac:dyDescent="0.5">
      <c r="B1" s="75" t="s">
        <v>111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x14ac:dyDescent="0.5">
      <c r="B2" s="76" t="s">
        <v>108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x14ac:dyDescent="0.5">
      <c r="B3" s="76" t="s">
        <v>106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x14ac:dyDescent="0.5">
      <c r="B4" s="76" t="s">
        <v>110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s="2" customFormat="1" x14ac:dyDescent="0.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5">
      <c r="B6" s="70" t="s">
        <v>0</v>
      </c>
      <c r="C6" s="72" t="s">
        <v>112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x14ac:dyDescent="0.5">
      <c r="B7" s="71"/>
      <c r="C7" s="67" t="s">
        <v>1</v>
      </c>
      <c r="D7" s="67" t="s">
        <v>2</v>
      </c>
      <c r="E7" s="67" t="s">
        <v>3</v>
      </c>
      <c r="F7" s="5" t="s">
        <v>14</v>
      </c>
      <c r="G7" s="67" t="s">
        <v>4</v>
      </c>
      <c r="H7" s="67" t="s">
        <v>5</v>
      </c>
      <c r="I7" s="67" t="s">
        <v>6</v>
      </c>
      <c r="J7" s="5" t="s">
        <v>15</v>
      </c>
      <c r="K7" s="67" t="s">
        <v>7</v>
      </c>
      <c r="L7" s="67" t="s">
        <v>8</v>
      </c>
      <c r="M7" s="67" t="s">
        <v>9</v>
      </c>
      <c r="N7" s="5" t="s">
        <v>16</v>
      </c>
      <c r="O7" s="67" t="s">
        <v>10</v>
      </c>
      <c r="P7" s="67" t="s">
        <v>11</v>
      </c>
      <c r="Q7" s="67" t="s">
        <v>12</v>
      </c>
      <c r="R7" s="6" t="s">
        <v>17</v>
      </c>
      <c r="S7" s="6" t="s">
        <v>13</v>
      </c>
    </row>
    <row r="8" spans="1:19" x14ac:dyDescent="0.5">
      <c r="A8" s="7"/>
      <c r="B8" s="8" t="s">
        <v>42</v>
      </c>
      <c r="C8" s="66">
        <f>C9+C12+C13+C14+C15</f>
        <v>188709</v>
      </c>
      <c r="D8" s="66">
        <f>D9+D12+D13+D14+D15</f>
        <v>11368</v>
      </c>
      <c r="E8" s="66">
        <f>E9+E12+E13+E14+E15</f>
        <v>510378</v>
      </c>
      <c r="F8" s="61">
        <f t="shared" ref="F8:F29" si="0">SUM(C8:E8)</f>
        <v>710455</v>
      </c>
      <c r="G8" s="66">
        <f>G9+G12+G13+G14+G15</f>
        <v>10378</v>
      </c>
      <c r="H8" s="66">
        <f>H9+H12+H13+H14+H15</f>
        <v>10378</v>
      </c>
      <c r="I8" s="66">
        <f>I9+I12+I13+I14+I15</f>
        <v>137669</v>
      </c>
      <c r="J8" s="61">
        <f t="shared" ref="J8:J29" si="1">SUM(G8:I8)</f>
        <v>158425</v>
      </c>
      <c r="K8" s="66">
        <f>K9+K12+K13+K14+K15</f>
        <v>9742</v>
      </c>
      <c r="L8" s="66">
        <f>L9+L12+L13+L14+L15</f>
        <v>9742</v>
      </c>
      <c r="M8" s="66">
        <f>M9+M12+M13+M14+M15</f>
        <v>609742</v>
      </c>
      <c r="N8" s="61">
        <f t="shared" ref="N8:N29" si="2">SUM(K8:M8)</f>
        <v>629226</v>
      </c>
      <c r="O8" s="66">
        <f>O9+O12+O13+O14+O15</f>
        <v>9742</v>
      </c>
      <c r="P8" s="66">
        <f>P9+P12+P13+P14+P15</f>
        <v>9742</v>
      </c>
      <c r="Q8" s="66">
        <f>Q9+Q12+Q13+Q14+Q15</f>
        <v>317303</v>
      </c>
      <c r="R8" s="61">
        <f t="shared" ref="R8:R29" si="3">SUM(O8:Q8)</f>
        <v>336787</v>
      </c>
      <c r="S8" s="11">
        <f t="shared" ref="S8:S29" si="4">F8+J8+N8+R8</f>
        <v>1834893</v>
      </c>
    </row>
    <row r="9" spans="1:19" x14ac:dyDescent="0.5">
      <c r="A9" s="7"/>
      <c r="B9" s="16" t="s">
        <v>43</v>
      </c>
      <c r="C9" s="62">
        <f>C10+C11</f>
        <v>0</v>
      </c>
      <c r="D9" s="62">
        <f>D10+D11</f>
        <v>0</v>
      </c>
      <c r="E9" s="62">
        <f>E10+E11</f>
        <v>0</v>
      </c>
      <c r="F9" s="61">
        <f t="shared" si="0"/>
        <v>0</v>
      </c>
      <c r="G9" s="62">
        <f>G10+G11</f>
        <v>0</v>
      </c>
      <c r="H9" s="62">
        <f>H10+H11</f>
        <v>0</v>
      </c>
      <c r="I9" s="62">
        <f>I10+I11</f>
        <v>0</v>
      </c>
      <c r="J9" s="61">
        <f t="shared" si="1"/>
        <v>0</v>
      </c>
      <c r="K9" s="62">
        <f>K10+K11</f>
        <v>0</v>
      </c>
      <c r="L9" s="62">
        <f>L10+L11</f>
        <v>0</v>
      </c>
      <c r="M9" s="62">
        <f>M10+M11</f>
        <v>0</v>
      </c>
      <c r="N9" s="61">
        <f t="shared" si="2"/>
        <v>0</v>
      </c>
      <c r="O9" s="62">
        <f>O10+O11</f>
        <v>0</v>
      </c>
      <c r="P9" s="62">
        <f>P10+P11</f>
        <v>0</v>
      </c>
      <c r="Q9" s="62">
        <f>Q10+Q11</f>
        <v>0</v>
      </c>
      <c r="R9" s="61">
        <f t="shared" si="3"/>
        <v>0</v>
      </c>
      <c r="S9" s="15">
        <f t="shared" si="4"/>
        <v>0</v>
      </c>
    </row>
    <row r="10" spans="1:19" x14ac:dyDescent="0.5">
      <c r="A10" s="7"/>
      <c r="B10" s="16" t="s">
        <v>79</v>
      </c>
      <c r="C10" s="62"/>
      <c r="D10" s="62"/>
      <c r="E10" s="62"/>
      <c r="F10" s="61">
        <f t="shared" si="0"/>
        <v>0</v>
      </c>
      <c r="G10" s="62"/>
      <c r="H10" s="62"/>
      <c r="I10" s="62"/>
      <c r="J10" s="61">
        <f t="shared" si="1"/>
        <v>0</v>
      </c>
      <c r="K10" s="62"/>
      <c r="L10" s="62"/>
      <c r="M10" s="62"/>
      <c r="N10" s="61">
        <f t="shared" si="2"/>
        <v>0</v>
      </c>
      <c r="O10" s="62"/>
      <c r="P10" s="62"/>
      <c r="Q10" s="62"/>
      <c r="R10" s="61">
        <f t="shared" si="3"/>
        <v>0</v>
      </c>
      <c r="S10" s="15">
        <f t="shared" si="4"/>
        <v>0</v>
      </c>
    </row>
    <row r="11" spans="1:19" x14ac:dyDescent="0.5">
      <c r="A11" s="7"/>
      <c r="B11" s="16" t="s">
        <v>101</v>
      </c>
      <c r="C11" s="62"/>
      <c r="D11" s="62"/>
      <c r="E11" s="62"/>
      <c r="F11" s="61">
        <f t="shared" si="0"/>
        <v>0</v>
      </c>
      <c r="G11" s="62"/>
      <c r="H11" s="62"/>
      <c r="I11" s="62"/>
      <c r="J11" s="61">
        <f t="shared" si="1"/>
        <v>0</v>
      </c>
      <c r="K11" s="62"/>
      <c r="L11" s="62"/>
      <c r="M11" s="62"/>
      <c r="N11" s="61">
        <f t="shared" si="2"/>
        <v>0</v>
      </c>
      <c r="O11" s="62"/>
      <c r="P11" s="62"/>
      <c r="Q11" s="62"/>
      <c r="R11" s="61">
        <f t="shared" si="3"/>
        <v>0</v>
      </c>
      <c r="S11" s="15">
        <f t="shared" si="4"/>
        <v>0</v>
      </c>
    </row>
    <row r="12" spans="1:19" x14ac:dyDescent="0.5">
      <c r="A12" s="7"/>
      <c r="B12" s="16" t="s">
        <v>44</v>
      </c>
      <c r="C12" s="62">
        <v>2000</v>
      </c>
      <c r="D12" s="62">
        <v>11368</v>
      </c>
      <c r="E12" s="62">
        <v>10378</v>
      </c>
      <c r="F12" s="61">
        <f t="shared" si="0"/>
        <v>23746</v>
      </c>
      <c r="G12" s="62">
        <v>10378</v>
      </c>
      <c r="H12" s="62">
        <v>10378</v>
      </c>
      <c r="I12" s="62">
        <v>137669</v>
      </c>
      <c r="J12" s="61">
        <f t="shared" si="1"/>
        <v>158425</v>
      </c>
      <c r="K12" s="62">
        <v>9742</v>
      </c>
      <c r="L12" s="62">
        <v>9742</v>
      </c>
      <c r="M12" s="62">
        <v>9742</v>
      </c>
      <c r="N12" s="61">
        <f t="shared" si="2"/>
        <v>29226</v>
      </c>
      <c r="O12" s="62">
        <v>9742</v>
      </c>
      <c r="P12" s="62">
        <v>9742</v>
      </c>
      <c r="Q12" s="62">
        <v>17303</v>
      </c>
      <c r="R12" s="61">
        <f t="shared" si="3"/>
        <v>36787</v>
      </c>
      <c r="S12" s="15">
        <f t="shared" si="4"/>
        <v>248184</v>
      </c>
    </row>
    <row r="13" spans="1:19" x14ac:dyDescent="0.5">
      <c r="A13" s="7"/>
      <c r="B13" s="16" t="s">
        <v>45</v>
      </c>
      <c r="C13" s="62"/>
      <c r="D13" s="62"/>
      <c r="E13" s="62"/>
      <c r="F13" s="61">
        <f t="shared" si="0"/>
        <v>0</v>
      </c>
      <c r="G13" s="62"/>
      <c r="H13" s="62"/>
      <c r="I13" s="62"/>
      <c r="J13" s="61">
        <f t="shared" si="1"/>
        <v>0</v>
      </c>
      <c r="K13" s="62"/>
      <c r="L13" s="62"/>
      <c r="M13" s="62"/>
      <c r="N13" s="61">
        <f t="shared" si="2"/>
        <v>0</v>
      </c>
      <c r="O13" s="62"/>
      <c r="P13" s="62"/>
      <c r="Q13" s="62"/>
      <c r="R13" s="61">
        <f t="shared" si="3"/>
        <v>0</v>
      </c>
      <c r="S13" s="15">
        <f t="shared" si="4"/>
        <v>0</v>
      </c>
    </row>
    <row r="14" spans="1:19" x14ac:dyDescent="0.5">
      <c r="A14" s="7"/>
      <c r="B14" s="16" t="s">
        <v>46</v>
      </c>
      <c r="C14" s="62"/>
      <c r="D14" s="62"/>
      <c r="E14" s="62"/>
      <c r="F14" s="61">
        <f t="shared" si="0"/>
        <v>0</v>
      </c>
      <c r="G14" s="62"/>
      <c r="H14" s="62"/>
      <c r="I14" s="62"/>
      <c r="J14" s="61">
        <f t="shared" si="1"/>
        <v>0</v>
      </c>
      <c r="K14" s="62"/>
      <c r="L14" s="62"/>
      <c r="M14" s="62"/>
      <c r="N14" s="61">
        <f t="shared" si="2"/>
        <v>0</v>
      </c>
      <c r="O14" s="62"/>
      <c r="P14" s="62"/>
      <c r="Q14" s="62"/>
      <c r="R14" s="61">
        <f t="shared" si="3"/>
        <v>0</v>
      </c>
      <c r="S14" s="15">
        <f t="shared" si="4"/>
        <v>0</v>
      </c>
    </row>
    <row r="15" spans="1:19" x14ac:dyDescent="0.5">
      <c r="A15" s="7"/>
      <c r="B15" s="16" t="s">
        <v>47</v>
      </c>
      <c r="C15" s="62">
        <v>186709</v>
      </c>
      <c r="D15" s="62">
        <v>0</v>
      </c>
      <c r="E15" s="62">
        <v>500000</v>
      </c>
      <c r="F15" s="61">
        <f t="shared" si="0"/>
        <v>686709</v>
      </c>
      <c r="G15" s="62">
        <v>0</v>
      </c>
      <c r="H15" s="62">
        <v>0</v>
      </c>
      <c r="I15" s="62">
        <v>0</v>
      </c>
      <c r="J15" s="61">
        <f t="shared" si="1"/>
        <v>0</v>
      </c>
      <c r="K15" s="62"/>
      <c r="L15" s="62"/>
      <c r="M15" s="62">
        <v>600000</v>
      </c>
      <c r="N15" s="61">
        <f t="shared" si="2"/>
        <v>600000</v>
      </c>
      <c r="O15" s="62"/>
      <c r="P15" s="62"/>
      <c r="Q15" s="62">
        <v>300000</v>
      </c>
      <c r="R15" s="61">
        <f t="shared" si="3"/>
        <v>300000</v>
      </c>
      <c r="S15" s="15">
        <f t="shared" si="4"/>
        <v>1586709</v>
      </c>
    </row>
    <row r="16" spans="1:19" x14ac:dyDescent="0.5">
      <c r="A16" s="7"/>
      <c r="B16" s="36" t="s">
        <v>48</v>
      </c>
      <c r="C16" s="65">
        <f>SUM(C17:C25)</f>
        <v>843748.16</v>
      </c>
      <c r="D16" s="65">
        <f>SUM(D17:D25)</f>
        <v>1610921.2300000002</v>
      </c>
      <c r="E16" s="65">
        <f>SUM(E17:E25)</f>
        <v>1131322.48</v>
      </c>
      <c r="F16" s="61">
        <f t="shared" si="0"/>
        <v>3585991.87</v>
      </c>
      <c r="G16" s="65">
        <f>SUM(G17:G25)</f>
        <v>2296390.5999999996</v>
      </c>
      <c r="H16" s="65">
        <f>SUM(H17:H25)</f>
        <v>1178644.1099999999</v>
      </c>
      <c r="I16" s="65">
        <f>SUM(I17:I25)</f>
        <v>1583960.23</v>
      </c>
      <c r="J16" s="61">
        <f t="shared" si="1"/>
        <v>5058994.9399999995</v>
      </c>
      <c r="K16" s="65">
        <f>SUM(K17:K25)</f>
        <v>1232644.92</v>
      </c>
      <c r="L16" s="65">
        <f>SUM(L17:L25)</f>
        <v>1555846.8399999999</v>
      </c>
      <c r="M16" s="65">
        <f>SUM(M17:M25)</f>
        <v>1655021.4599999997</v>
      </c>
      <c r="N16" s="61">
        <f t="shared" si="2"/>
        <v>4443513.22</v>
      </c>
      <c r="O16" s="65">
        <f>SUM(O17:O25)</f>
        <v>1546079.2</v>
      </c>
      <c r="P16" s="65">
        <f>SUM(P17:P25)</f>
        <v>1346024.9000000001</v>
      </c>
      <c r="Q16" s="65">
        <f>SUM(Q17:Q25)</f>
        <v>2626279.7799999998</v>
      </c>
      <c r="R16" s="61">
        <f t="shared" si="3"/>
        <v>5518383.8799999999</v>
      </c>
      <c r="S16" s="15">
        <f t="shared" si="4"/>
        <v>18606883.909999996</v>
      </c>
    </row>
    <row r="17" spans="1:19" x14ac:dyDescent="0.5">
      <c r="A17" s="7"/>
      <c r="B17" s="16" t="s">
        <v>49</v>
      </c>
      <c r="C17" s="62">
        <v>649730</v>
      </c>
      <c r="D17" s="62">
        <v>649730</v>
      </c>
      <c r="E17" s="62">
        <v>649730</v>
      </c>
      <c r="F17" s="61">
        <f t="shared" si="0"/>
        <v>1949190</v>
      </c>
      <c r="G17" s="62">
        <v>814831</v>
      </c>
      <c r="H17" s="62">
        <v>663600</v>
      </c>
      <c r="I17" s="62">
        <v>663600</v>
      </c>
      <c r="J17" s="61">
        <f t="shared" si="1"/>
        <v>2142031</v>
      </c>
      <c r="K17" s="62">
        <v>661860</v>
      </c>
      <c r="L17" s="62">
        <v>698780</v>
      </c>
      <c r="M17" s="62">
        <v>689405</v>
      </c>
      <c r="N17" s="61">
        <f t="shared" si="2"/>
        <v>2050045</v>
      </c>
      <c r="O17" s="62">
        <v>689405</v>
      </c>
      <c r="P17" s="62">
        <v>689405</v>
      </c>
      <c r="Q17" s="62">
        <v>689405</v>
      </c>
      <c r="R17" s="61">
        <f t="shared" si="3"/>
        <v>2068215</v>
      </c>
      <c r="S17" s="15">
        <f t="shared" si="4"/>
        <v>8209481</v>
      </c>
    </row>
    <row r="18" spans="1:19" x14ac:dyDescent="0.5">
      <c r="A18" s="7"/>
      <c r="B18" s="16" t="s">
        <v>50</v>
      </c>
      <c r="C18" s="62"/>
      <c r="D18" s="62"/>
      <c r="E18" s="62"/>
      <c r="F18" s="61">
        <f t="shared" si="0"/>
        <v>0</v>
      </c>
      <c r="G18" s="62"/>
      <c r="H18" s="62"/>
      <c r="I18" s="62">
        <v>0</v>
      </c>
      <c r="J18" s="61">
        <f t="shared" si="1"/>
        <v>0</v>
      </c>
      <c r="K18" s="62"/>
      <c r="L18" s="62"/>
      <c r="M18" s="62"/>
      <c r="N18" s="61">
        <f t="shared" si="2"/>
        <v>0</v>
      </c>
      <c r="O18" s="62"/>
      <c r="P18" s="62"/>
      <c r="Q18" s="62"/>
      <c r="R18" s="61">
        <f t="shared" si="3"/>
        <v>0</v>
      </c>
      <c r="S18" s="15">
        <f t="shared" si="4"/>
        <v>0</v>
      </c>
    </row>
    <row r="19" spans="1:19" x14ac:dyDescent="0.5">
      <c r="A19" s="7"/>
      <c r="B19" s="16" t="s">
        <v>51</v>
      </c>
      <c r="C19" s="62">
        <v>169305</v>
      </c>
      <c r="D19" s="62">
        <v>169305</v>
      </c>
      <c r="E19" s="62">
        <v>169305</v>
      </c>
      <c r="F19" s="61">
        <f t="shared" si="0"/>
        <v>507915</v>
      </c>
      <c r="G19" s="62">
        <v>169305</v>
      </c>
      <c r="H19" s="62">
        <v>172068</v>
      </c>
      <c r="I19" s="62">
        <v>156585</v>
      </c>
      <c r="J19" s="61">
        <f t="shared" si="1"/>
        <v>497958</v>
      </c>
      <c r="K19" s="62">
        <v>156585</v>
      </c>
      <c r="L19" s="62">
        <v>156585</v>
      </c>
      <c r="M19" s="62">
        <v>156585</v>
      </c>
      <c r="N19" s="61">
        <f t="shared" si="2"/>
        <v>469755</v>
      </c>
      <c r="O19" s="62">
        <v>156585</v>
      </c>
      <c r="P19" s="62">
        <v>156585</v>
      </c>
      <c r="Q19" s="62">
        <v>152961</v>
      </c>
      <c r="R19" s="61">
        <f t="shared" si="3"/>
        <v>466131</v>
      </c>
      <c r="S19" s="15">
        <f t="shared" si="4"/>
        <v>1941759</v>
      </c>
    </row>
    <row r="20" spans="1:19" x14ac:dyDescent="0.5">
      <c r="A20" s="7"/>
      <c r="B20" s="16" t="s">
        <v>52</v>
      </c>
      <c r="C20" s="62">
        <v>12800</v>
      </c>
      <c r="D20" s="62">
        <v>17090</v>
      </c>
      <c r="E20" s="62">
        <v>12694</v>
      </c>
      <c r="F20" s="61">
        <f t="shared" si="0"/>
        <v>42584</v>
      </c>
      <c r="G20" s="62">
        <v>6110</v>
      </c>
      <c r="H20" s="62">
        <v>33210</v>
      </c>
      <c r="I20" s="62">
        <v>13300</v>
      </c>
      <c r="J20" s="61">
        <f t="shared" si="1"/>
        <v>52620</v>
      </c>
      <c r="K20" s="62">
        <v>14700</v>
      </c>
      <c r="L20" s="62">
        <v>13300</v>
      </c>
      <c r="M20" s="62">
        <v>27035</v>
      </c>
      <c r="N20" s="61">
        <f t="shared" si="2"/>
        <v>55035</v>
      </c>
      <c r="O20" s="62">
        <v>14800</v>
      </c>
      <c r="P20" s="62">
        <v>14800</v>
      </c>
      <c r="Q20" s="62">
        <v>30050</v>
      </c>
      <c r="R20" s="61">
        <f t="shared" si="3"/>
        <v>59650</v>
      </c>
      <c r="S20" s="15">
        <f t="shared" si="4"/>
        <v>209889</v>
      </c>
    </row>
    <row r="21" spans="1:19" x14ac:dyDescent="0.5">
      <c r="A21" s="7"/>
      <c r="B21" s="16" t="s">
        <v>53</v>
      </c>
      <c r="C21" s="62">
        <v>10000</v>
      </c>
      <c r="D21" s="62">
        <v>174882.14</v>
      </c>
      <c r="E21" s="62">
        <f>120690.8+96285</f>
        <v>216975.8</v>
      </c>
      <c r="F21" s="61">
        <f t="shared" si="0"/>
        <v>401857.94</v>
      </c>
      <c r="G21" s="62">
        <f>257180.65+57900</f>
        <v>315080.65000000002</v>
      </c>
      <c r="H21" s="62">
        <f>179291.61</f>
        <v>179291.61</v>
      </c>
      <c r="I21" s="62">
        <f>210930.69+52963</f>
        <v>263893.69</v>
      </c>
      <c r="J21" s="61">
        <f t="shared" si="1"/>
        <v>758265.95</v>
      </c>
      <c r="K21" s="62">
        <f>143055.65+35330</f>
        <v>178385.65</v>
      </c>
      <c r="L21" s="62">
        <f>115061.2+9460</f>
        <v>124521.2</v>
      </c>
      <c r="M21" s="62">
        <f>121764.2</f>
        <v>121764.2</v>
      </c>
      <c r="N21" s="61">
        <f t="shared" si="2"/>
        <v>424671.05</v>
      </c>
      <c r="O21" s="62">
        <f>130315.8+475800</f>
        <v>606115.80000000005</v>
      </c>
      <c r="P21" s="62">
        <f>190236.57+83008+32500</f>
        <v>305744.57</v>
      </c>
      <c r="Q21" s="62">
        <f>370509.13+112775</f>
        <v>483284.13</v>
      </c>
      <c r="R21" s="61">
        <f t="shared" si="3"/>
        <v>1395144.5</v>
      </c>
      <c r="S21" s="15">
        <f t="shared" si="4"/>
        <v>2979939.44</v>
      </c>
    </row>
    <row r="22" spans="1:19" x14ac:dyDescent="0.5">
      <c r="A22" s="7"/>
      <c r="B22" s="16" t="s">
        <v>54</v>
      </c>
      <c r="C22" s="62">
        <v>0</v>
      </c>
      <c r="D22" s="62">
        <f>65289+69000</f>
        <v>134289</v>
      </c>
      <c r="E22" s="62">
        <v>64010</v>
      </c>
      <c r="F22" s="61">
        <f t="shared" si="0"/>
        <v>198299</v>
      </c>
      <c r="G22" s="62">
        <f>43084.4+7000+69000</f>
        <v>119084.4</v>
      </c>
      <c r="H22" s="62">
        <f>48425.75+64000</f>
        <v>112425.75</v>
      </c>
      <c r="I22" s="62">
        <v>127194</v>
      </c>
      <c r="J22" s="61">
        <f t="shared" si="1"/>
        <v>358704.15</v>
      </c>
      <c r="K22" s="62">
        <f>64429.5+138000</f>
        <v>202429.5</v>
      </c>
      <c r="L22" s="62">
        <v>72387</v>
      </c>
      <c r="M22" s="62">
        <f>104945+542361.6</f>
        <v>647306.6</v>
      </c>
      <c r="N22" s="61">
        <f t="shared" si="2"/>
        <v>922123.1</v>
      </c>
      <c r="O22" s="62">
        <v>44649</v>
      </c>
      <c r="P22" s="62">
        <v>58020</v>
      </c>
      <c r="Q22" s="62">
        <f>249787+442655.46+60720</f>
        <v>753162.46</v>
      </c>
      <c r="R22" s="61">
        <f t="shared" si="3"/>
        <v>855831.46</v>
      </c>
      <c r="S22" s="15">
        <f t="shared" si="4"/>
        <v>2334957.71</v>
      </c>
    </row>
    <row r="23" spans="1:19" x14ac:dyDescent="0.5">
      <c r="A23" s="7"/>
      <c r="B23" s="16" t="s">
        <v>55</v>
      </c>
      <c r="C23" s="62">
        <v>1913.16</v>
      </c>
      <c r="D23" s="62">
        <v>22625.09</v>
      </c>
      <c r="E23" s="62">
        <v>18607.68</v>
      </c>
      <c r="F23" s="61">
        <f t="shared" si="0"/>
        <v>43145.93</v>
      </c>
      <c r="G23" s="62">
        <v>24083.85</v>
      </c>
      <c r="H23" s="62">
        <v>18048.75</v>
      </c>
      <c r="I23" s="62">
        <v>17294.310000000001</v>
      </c>
      <c r="J23" s="61">
        <f t="shared" si="1"/>
        <v>59426.91</v>
      </c>
      <c r="K23" s="62">
        <v>18684.77</v>
      </c>
      <c r="L23" s="62">
        <v>47273.64</v>
      </c>
      <c r="M23" s="62">
        <v>6968.98</v>
      </c>
      <c r="N23" s="61">
        <f t="shared" si="2"/>
        <v>72927.39</v>
      </c>
      <c r="O23" s="62">
        <v>34524.400000000001</v>
      </c>
      <c r="P23" s="62">
        <v>31470.33</v>
      </c>
      <c r="Q23" s="62">
        <v>61417.19</v>
      </c>
      <c r="R23" s="61">
        <f t="shared" si="3"/>
        <v>127411.92000000001</v>
      </c>
      <c r="S23" s="15">
        <f t="shared" si="4"/>
        <v>302912.15000000002</v>
      </c>
    </row>
    <row r="24" spans="1:19" x14ac:dyDescent="0.5">
      <c r="A24" s="7"/>
      <c r="B24" s="16" t="s">
        <v>56</v>
      </c>
      <c r="C24" s="62"/>
      <c r="D24" s="62">
        <v>443000</v>
      </c>
      <c r="E24" s="62"/>
      <c r="F24" s="61">
        <f t="shared" si="0"/>
        <v>443000</v>
      </c>
      <c r="G24" s="62">
        <f>404895.7+443000</f>
        <v>847895.7</v>
      </c>
      <c r="H24" s="62">
        <v>0</v>
      </c>
      <c r="I24" s="62">
        <v>342093.23</v>
      </c>
      <c r="J24" s="61">
        <f t="shared" si="1"/>
        <v>1189988.93</v>
      </c>
      <c r="K24" s="62"/>
      <c r="L24" s="62">
        <v>443000</v>
      </c>
      <c r="M24" s="62">
        <v>5956.68</v>
      </c>
      <c r="N24" s="61">
        <f t="shared" si="2"/>
        <v>448956.68</v>
      </c>
      <c r="O24" s="62"/>
      <c r="P24" s="62">
        <v>90000</v>
      </c>
      <c r="Q24" s="62">
        <v>456000</v>
      </c>
      <c r="R24" s="61">
        <f t="shared" si="3"/>
        <v>546000</v>
      </c>
      <c r="S24" s="15">
        <f t="shared" si="4"/>
        <v>2627945.61</v>
      </c>
    </row>
    <row r="25" spans="1:19" x14ac:dyDescent="0.5">
      <c r="A25" s="7"/>
      <c r="B25" s="16" t="s">
        <v>57</v>
      </c>
      <c r="C25" s="62"/>
      <c r="D25" s="62"/>
      <c r="E25" s="62"/>
      <c r="F25" s="61">
        <f t="shared" si="0"/>
        <v>0</v>
      </c>
      <c r="G25" s="62"/>
      <c r="H25" s="62"/>
      <c r="I25" s="62"/>
      <c r="J25" s="61">
        <f t="shared" si="1"/>
        <v>0</v>
      </c>
      <c r="K25" s="62"/>
      <c r="L25" s="62"/>
      <c r="M25" s="62"/>
      <c r="N25" s="61">
        <f t="shared" si="2"/>
        <v>0</v>
      </c>
      <c r="O25" s="62"/>
      <c r="P25" s="62"/>
      <c r="Q25" s="62"/>
      <c r="R25" s="61">
        <f t="shared" si="3"/>
        <v>0</v>
      </c>
      <c r="S25" s="15">
        <f t="shared" si="4"/>
        <v>0</v>
      </c>
    </row>
    <row r="26" spans="1:19" x14ac:dyDescent="0.5">
      <c r="A26" s="7"/>
      <c r="B26" s="34" t="s">
        <v>58</v>
      </c>
      <c r="C26" s="65">
        <f>SUM(C27:C29)</f>
        <v>0</v>
      </c>
      <c r="D26" s="65">
        <f>SUM(D27:D29)</f>
        <v>0</v>
      </c>
      <c r="E26" s="65">
        <f>SUM(E27:E29)</f>
        <v>0</v>
      </c>
      <c r="F26" s="61">
        <f t="shared" si="0"/>
        <v>0</v>
      </c>
      <c r="G26" s="65">
        <f>SUM(G27:G29)</f>
        <v>0</v>
      </c>
      <c r="H26" s="65">
        <f>SUM(H27:H29)</f>
        <v>0</v>
      </c>
      <c r="I26" s="65">
        <f>SUM(I27:I29)</f>
        <v>0</v>
      </c>
      <c r="J26" s="61">
        <f t="shared" si="1"/>
        <v>0</v>
      </c>
      <c r="K26" s="65">
        <f>SUM(K27:K29)</f>
        <v>96000</v>
      </c>
      <c r="L26" s="65">
        <f>SUM(L27:L29)</f>
        <v>44800</v>
      </c>
      <c r="M26" s="65">
        <f>SUM(M27:M29)</f>
        <v>250400</v>
      </c>
      <c r="N26" s="61">
        <f t="shared" si="2"/>
        <v>391200</v>
      </c>
      <c r="O26" s="65">
        <f>SUM(O27:O29)</f>
        <v>140000</v>
      </c>
      <c r="P26" s="65">
        <f>SUM(P27:P29)</f>
        <v>484000</v>
      </c>
      <c r="Q26" s="65">
        <f>SUM(Q27:Q29)</f>
        <v>442900</v>
      </c>
      <c r="R26" s="61">
        <f t="shared" si="3"/>
        <v>1066900</v>
      </c>
      <c r="S26" s="15">
        <f t="shared" si="4"/>
        <v>1458100</v>
      </c>
    </row>
    <row r="27" spans="1:19" x14ac:dyDescent="0.5">
      <c r="A27" s="7"/>
      <c r="B27" s="16" t="s">
        <v>59</v>
      </c>
      <c r="C27" s="62"/>
      <c r="D27" s="62"/>
      <c r="E27" s="62"/>
      <c r="F27" s="61">
        <f t="shared" si="0"/>
        <v>0</v>
      </c>
      <c r="G27" s="62"/>
      <c r="H27" s="62"/>
      <c r="I27" s="62"/>
      <c r="J27" s="61">
        <f t="shared" si="1"/>
        <v>0</v>
      </c>
      <c r="K27" s="62"/>
      <c r="L27" s="62">
        <f>7600+37200</f>
        <v>44800</v>
      </c>
      <c r="M27" s="62">
        <v>152400</v>
      </c>
      <c r="N27" s="61">
        <f t="shared" si="2"/>
        <v>197200</v>
      </c>
      <c r="O27" s="62">
        <v>44000</v>
      </c>
      <c r="P27" s="62"/>
      <c r="Q27" s="62"/>
      <c r="R27" s="61">
        <f t="shared" si="3"/>
        <v>44000</v>
      </c>
      <c r="S27" s="15">
        <f t="shared" si="4"/>
        <v>241200</v>
      </c>
    </row>
    <row r="28" spans="1:19" x14ac:dyDescent="0.5">
      <c r="A28" s="7"/>
      <c r="B28" s="16" t="s">
        <v>60</v>
      </c>
      <c r="C28" s="62"/>
      <c r="D28" s="62"/>
      <c r="E28" s="62"/>
      <c r="F28" s="61">
        <f t="shared" si="0"/>
        <v>0</v>
      </c>
      <c r="G28" s="62"/>
      <c r="H28" s="62"/>
      <c r="I28" s="62"/>
      <c r="J28" s="61">
        <f t="shared" si="1"/>
        <v>0</v>
      </c>
      <c r="K28" s="62">
        <v>96000</v>
      </c>
      <c r="L28" s="62"/>
      <c r="M28" s="62">
        <v>98000</v>
      </c>
      <c r="N28" s="61">
        <f t="shared" si="2"/>
        <v>194000</v>
      </c>
      <c r="O28" s="62">
        <v>96000</v>
      </c>
      <c r="P28" s="62">
        <v>484000</v>
      </c>
      <c r="Q28" s="62">
        <f>107300+335600</f>
        <v>442900</v>
      </c>
      <c r="R28" s="61">
        <f t="shared" si="3"/>
        <v>1022900</v>
      </c>
      <c r="S28" s="15">
        <f t="shared" si="4"/>
        <v>1216900</v>
      </c>
    </row>
    <row r="29" spans="1:19" x14ac:dyDescent="0.5">
      <c r="A29" s="7"/>
      <c r="B29" s="16" t="s">
        <v>61</v>
      </c>
      <c r="C29" s="62"/>
      <c r="D29" s="62"/>
      <c r="E29" s="62"/>
      <c r="F29" s="61">
        <f t="shared" si="0"/>
        <v>0</v>
      </c>
      <c r="G29" s="62"/>
      <c r="H29" s="62"/>
      <c r="I29" s="62"/>
      <c r="J29" s="61">
        <f t="shared" si="1"/>
        <v>0</v>
      </c>
      <c r="K29" s="62"/>
      <c r="L29" s="62"/>
      <c r="M29" s="62"/>
      <c r="N29" s="61">
        <f t="shared" si="2"/>
        <v>0</v>
      </c>
      <c r="O29" s="62"/>
      <c r="P29" s="62"/>
      <c r="Q29" s="62"/>
      <c r="R29" s="61">
        <f t="shared" si="3"/>
        <v>0</v>
      </c>
      <c r="S29" s="25">
        <f t="shared" si="4"/>
        <v>0</v>
      </c>
    </row>
    <row r="30" spans="1:19" x14ac:dyDescent="0.5">
      <c r="B30" s="70" t="s">
        <v>0</v>
      </c>
      <c r="C30" s="72" t="s">
        <v>112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1:19" x14ac:dyDescent="0.5">
      <c r="B31" s="71"/>
      <c r="C31" s="5" t="s">
        <v>1</v>
      </c>
      <c r="D31" s="5" t="s">
        <v>2</v>
      </c>
      <c r="E31" s="5" t="s">
        <v>3</v>
      </c>
      <c r="F31" s="5" t="s">
        <v>14</v>
      </c>
      <c r="G31" s="5" t="s">
        <v>4</v>
      </c>
      <c r="H31" s="5" t="s">
        <v>5</v>
      </c>
      <c r="I31" s="5" t="s">
        <v>6</v>
      </c>
      <c r="J31" s="5" t="s">
        <v>15</v>
      </c>
      <c r="K31" s="5" t="s">
        <v>7</v>
      </c>
      <c r="L31" s="5" t="s">
        <v>8</v>
      </c>
      <c r="M31" s="5" t="s">
        <v>9</v>
      </c>
      <c r="N31" s="5" t="s">
        <v>16</v>
      </c>
      <c r="O31" s="5" t="s">
        <v>10</v>
      </c>
      <c r="P31" s="5" t="s">
        <v>11</v>
      </c>
      <c r="Q31" s="5" t="s">
        <v>12</v>
      </c>
      <c r="R31" s="6" t="s">
        <v>17</v>
      </c>
      <c r="S31" s="6" t="s">
        <v>13</v>
      </c>
    </row>
    <row r="32" spans="1:19" x14ac:dyDescent="0.5">
      <c r="A32" s="7"/>
      <c r="B32" s="34" t="s">
        <v>62</v>
      </c>
      <c r="C32" s="63">
        <f>C33+C34+C35+C38</f>
        <v>1040176.52</v>
      </c>
      <c r="D32" s="63">
        <f>D33+D34+D35+D38</f>
        <v>2456340</v>
      </c>
      <c r="E32" s="63">
        <f>E33+E34+E35+E38</f>
        <v>967320</v>
      </c>
      <c r="F32" s="61">
        <f t="shared" ref="F32:F44" si="5">SUM(C32:E32)</f>
        <v>4463836.5199999996</v>
      </c>
      <c r="G32" s="63">
        <f>G33+G34+G35+G38</f>
        <v>977220</v>
      </c>
      <c r="H32" s="63">
        <f>H33+H34+H35+H38</f>
        <v>1951770</v>
      </c>
      <c r="I32" s="63">
        <f>I33+I34+I35+I38</f>
        <v>2055400</v>
      </c>
      <c r="J32" s="61">
        <f t="shared" ref="J32:J44" si="6">SUM(G32:I32)</f>
        <v>4984390</v>
      </c>
      <c r="K32" s="63">
        <f>K33+K34+K35+K38</f>
        <v>999790</v>
      </c>
      <c r="L32" s="63">
        <f>L33+L34+L35+L38</f>
        <v>942970</v>
      </c>
      <c r="M32" s="63">
        <f>M33+M34+M35+M38</f>
        <v>938070</v>
      </c>
      <c r="N32" s="61">
        <f t="shared" ref="N32:N44" si="7">SUM(K32:M32)</f>
        <v>2880830</v>
      </c>
      <c r="O32" s="63">
        <f>O33+O34+O35+O38</f>
        <v>0</v>
      </c>
      <c r="P32" s="63">
        <f>P33+P34+P35+P38</f>
        <v>1006935</v>
      </c>
      <c r="Q32" s="63">
        <f>Q33+Q34+Q35+Q38</f>
        <v>1094610</v>
      </c>
      <c r="R32" s="61">
        <f t="shared" ref="R32:R44" si="8">SUM(O32:Q32)</f>
        <v>2101545</v>
      </c>
      <c r="S32" s="15">
        <f t="shared" ref="S32:S44" si="9">F32+J32+N32+R32</f>
        <v>14430601.52</v>
      </c>
    </row>
    <row r="33" spans="1:19" x14ac:dyDescent="0.5">
      <c r="A33" s="7"/>
      <c r="B33" s="16" t="s">
        <v>63</v>
      </c>
      <c r="C33" s="62"/>
      <c r="D33" s="62">
        <v>1991340</v>
      </c>
      <c r="E33" s="62">
        <v>967320</v>
      </c>
      <c r="F33" s="61">
        <f t="shared" si="5"/>
        <v>2958660</v>
      </c>
      <c r="G33" s="62">
        <v>977220</v>
      </c>
      <c r="H33" s="62">
        <v>974770</v>
      </c>
      <c r="I33" s="62">
        <v>901400</v>
      </c>
      <c r="J33" s="61">
        <f t="shared" si="6"/>
        <v>2853390</v>
      </c>
      <c r="K33" s="62">
        <v>999790</v>
      </c>
      <c r="L33" s="62">
        <v>942970</v>
      </c>
      <c r="M33" s="62">
        <v>938070</v>
      </c>
      <c r="N33" s="61">
        <f t="shared" si="7"/>
        <v>2880830</v>
      </c>
      <c r="O33" s="62"/>
      <c r="P33" s="62">
        <v>950400</v>
      </c>
      <c r="Q33" s="62">
        <v>1094610</v>
      </c>
      <c r="R33" s="61">
        <f t="shared" si="8"/>
        <v>2045010</v>
      </c>
      <c r="S33" s="15">
        <f t="shared" si="9"/>
        <v>10737890</v>
      </c>
    </row>
    <row r="34" spans="1:19" x14ac:dyDescent="0.5">
      <c r="A34" s="7"/>
      <c r="B34" s="16" t="s">
        <v>64</v>
      </c>
      <c r="C34" s="62">
        <v>0</v>
      </c>
      <c r="D34" s="62"/>
      <c r="E34" s="62"/>
      <c r="F34" s="61">
        <f t="shared" si="5"/>
        <v>0</v>
      </c>
      <c r="G34" s="62">
        <v>0</v>
      </c>
      <c r="H34" s="62">
        <v>977000</v>
      </c>
      <c r="I34" s="62">
        <v>1154000</v>
      </c>
      <c r="J34" s="61">
        <f t="shared" si="6"/>
        <v>2131000</v>
      </c>
      <c r="K34" s="62"/>
      <c r="L34" s="62"/>
      <c r="M34" s="62"/>
      <c r="N34" s="61">
        <f t="shared" si="7"/>
        <v>0</v>
      </c>
      <c r="O34" s="62"/>
      <c r="P34" s="62">
        <v>56535</v>
      </c>
      <c r="Q34" s="62"/>
      <c r="R34" s="61">
        <f t="shared" si="8"/>
        <v>56535</v>
      </c>
      <c r="S34" s="15">
        <f t="shared" si="9"/>
        <v>2187535</v>
      </c>
    </row>
    <row r="35" spans="1:19" x14ac:dyDescent="0.5">
      <c r="A35" s="7"/>
      <c r="B35" s="16" t="s">
        <v>65</v>
      </c>
      <c r="C35" s="62">
        <f>C36+C37</f>
        <v>0</v>
      </c>
      <c r="D35" s="62">
        <f>D36+D37</f>
        <v>0</v>
      </c>
      <c r="E35" s="62">
        <f>E36+E37</f>
        <v>0</v>
      </c>
      <c r="F35" s="61">
        <f t="shared" si="5"/>
        <v>0</v>
      </c>
      <c r="G35" s="62">
        <f>G36+G37</f>
        <v>0</v>
      </c>
      <c r="H35" s="62">
        <f>H36+H37</f>
        <v>0</v>
      </c>
      <c r="I35" s="62">
        <f>I36+I37</f>
        <v>0</v>
      </c>
      <c r="J35" s="61">
        <f t="shared" si="6"/>
        <v>0</v>
      </c>
      <c r="K35" s="62">
        <f>K36+K37</f>
        <v>0</v>
      </c>
      <c r="L35" s="62">
        <f>L36+L37</f>
        <v>0</v>
      </c>
      <c r="M35" s="62">
        <f>M36+M37</f>
        <v>0</v>
      </c>
      <c r="N35" s="61">
        <f t="shared" si="7"/>
        <v>0</v>
      </c>
      <c r="O35" s="62">
        <f>O36+O37</f>
        <v>0</v>
      </c>
      <c r="P35" s="62">
        <f>P36+P37</f>
        <v>0</v>
      </c>
      <c r="Q35" s="62">
        <f>Q36+Q37</f>
        <v>0</v>
      </c>
      <c r="R35" s="61">
        <f t="shared" si="8"/>
        <v>0</v>
      </c>
      <c r="S35" s="15">
        <f t="shared" si="9"/>
        <v>0</v>
      </c>
    </row>
    <row r="36" spans="1:19" x14ac:dyDescent="0.5">
      <c r="B36" s="64" t="s">
        <v>80</v>
      </c>
      <c r="C36" s="62"/>
      <c r="D36" s="62"/>
      <c r="E36" s="62"/>
      <c r="F36" s="61">
        <f t="shared" si="5"/>
        <v>0</v>
      </c>
      <c r="G36" s="62"/>
      <c r="H36" s="62"/>
      <c r="I36" s="62"/>
      <c r="J36" s="61">
        <f t="shared" si="6"/>
        <v>0</v>
      </c>
      <c r="K36" s="62"/>
      <c r="L36" s="62"/>
      <c r="M36" s="62"/>
      <c r="N36" s="61">
        <f t="shared" si="7"/>
        <v>0</v>
      </c>
      <c r="O36" s="62"/>
      <c r="P36" s="62"/>
      <c r="Q36" s="62"/>
      <c r="R36" s="61">
        <f t="shared" si="8"/>
        <v>0</v>
      </c>
      <c r="S36" s="15">
        <f t="shared" si="9"/>
        <v>0</v>
      </c>
    </row>
    <row r="37" spans="1:19" x14ac:dyDescent="0.5">
      <c r="B37" s="64" t="s">
        <v>99</v>
      </c>
      <c r="C37" s="62"/>
      <c r="D37" s="62"/>
      <c r="E37" s="62"/>
      <c r="F37" s="61">
        <f t="shared" si="5"/>
        <v>0</v>
      </c>
      <c r="G37" s="62"/>
      <c r="H37" s="62"/>
      <c r="I37" s="62"/>
      <c r="J37" s="61">
        <f t="shared" si="6"/>
        <v>0</v>
      </c>
      <c r="K37" s="62"/>
      <c r="L37" s="62"/>
      <c r="M37" s="62"/>
      <c r="N37" s="61">
        <f t="shared" si="7"/>
        <v>0</v>
      </c>
      <c r="O37" s="62"/>
      <c r="P37" s="62"/>
      <c r="Q37" s="62"/>
      <c r="R37" s="61">
        <f t="shared" si="8"/>
        <v>0</v>
      </c>
      <c r="S37" s="15">
        <f t="shared" si="9"/>
        <v>0</v>
      </c>
    </row>
    <row r="38" spans="1:19" x14ac:dyDescent="0.5">
      <c r="A38" s="7"/>
      <c r="B38" s="16" t="s">
        <v>102</v>
      </c>
      <c r="C38" s="62">
        <v>1040176.52</v>
      </c>
      <c r="D38" s="62">
        <v>465000</v>
      </c>
      <c r="E38" s="62"/>
      <c r="F38" s="61">
        <f t="shared" si="5"/>
        <v>1505176.52</v>
      </c>
      <c r="G38" s="62"/>
      <c r="H38" s="62"/>
      <c r="I38" s="62"/>
      <c r="J38" s="61">
        <f t="shared" si="6"/>
        <v>0</v>
      </c>
      <c r="K38" s="62"/>
      <c r="L38" s="62"/>
      <c r="M38" s="62"/>
      <c r="N38" s="61">
        <f t="shared" si="7"/>
        <v>0</v>
      </c>
      <c r="O38" s="62"/>
      <c r="P38" s="62">
        <v>0</v>
      </c>
      <c r="Q38" s="62"/>
      <c r="R38" s="61">
        <f t="shared" si="8"/>
        <v>0</v>
      </c>
      <c r="S38" s="15">
        <f t="shared" si="9"/>
        <v>1505176.52</v>
      </c>
    </row>
    <row r="39" spans="1:19" x14ac:dyDescent="0.5">
      <c r="A39" s="7"/>
      <c r="B39" s="34" t="s">
        <v>66</v>
      </c>
      <c r="C39" s="63">
        <f>SUM(C40:C43)</f>
        <v>138092</v>
      </c>
      <c r="D39" s="63">
        <f>SUM(D40:D43)</f>
        <v>258347.37</v>
      </c>
      <c r="E39" s="63">
        <f>SUM(E40:E43)</f>
        <v>518674.19</v>
      </c>
      <c r="F39" s="61">
        <f t="shared" si="5"/>
        <v>915113.56</v>
      </c>
      <c r="G39" s="63">
        <f>SUM(G40:G43)</f>
        <v>2300676.7000000002</v>
      </c>
      <c r="H39" s="63">
        <f>SUM(H40:H43)</f>
        <v>3016812.77</v>
      </c>
      <c r="I39" s="63">
        <f>SUM(I40:I43)</f>
        <v>7836482.2400000002</v>
      </c>
      <c r="J39" s="61">
        <f t="shared" si="6"/>
        <v>13153971.710000001</v>
      </c>
      <c r="K39" s="63">
        <f>SUM(K40:K43)</f>
        <v>63248.65</v>
      </c>
      <c r="L39" s="63">
        <f>SUM(L40:L43)</f>
        <v>49009.440000000002</v>
      </c>
      <c r="M39" s="63">
        <f>SUM(M40:M43)</f>
        <v>0</v>
      </c>
      <c r="N39" s="61">
        <f t="shared" si="7"/>
        <v>112258.09</v>
      </c>
      <c r="O39" s="63">
        <f>SUM(O40:O43)</f>
        <v>0</v>
      </c>
      <c r="P39" s="63">
        <f>SUM(P40:P43)</f>
        <v>38866.89</v>
      </c>
      <c r="Q39" s="63">
        <f>SUM(Q40:Q43)</f>
        <v>3632953.45</v>
      </c>
      <c r="R39" s="61">
        <f t="shared" si="8"/>
        <v>3671820.3400000003</v>
      </c>
      <c r="S39" s="15">
        <f t="shared" si="9"/>
        <v>17853163.700000003</v>
      </c>
    </row>
    <row r="40" spans="1:19" x14ac:dyDescent="0.5">
      <c r="A40" s="7"/>
      <c r="B40" s="16" t="s">
        <v>67</v>
      </c>
      <c r="C40" s="62"/>
      <c r="D40" s="62"/>
      <c r="E40" s="62"/>
      <c r="F40" s="61">
        <f t="shared" si="5"/>
        <v>0</v>
      </c>
      <c r="G40" s="62"/>
      <c r="H40" s="62"/>
      <c r="I40" s="62"/>
      <c r="J40" s="61">
        <f t="shared" si="6"/>
        <v>0</v>
      </c>
      <c r="K40" s="62"/>
      <c r="L40" s="62"/>
      <c r="M40" s="62"/>
      <c r="N40" s="61">
        <f t="shared" si="7"/>
        <v>0</v>
      </c>
      <c r="O40" s="62"/>
      <c r="P40" s="62"/>
      <c r="Q40" s="62"/>
      <c r="R40" s="61">
        <f t="shared" si="8"/>
        <v>0</v>
      </c>
      <c r="S40" s="15">
        <f t="shared" si="9"/>
        <v>0</v>
      </c>
    </row>
    <row r="41" spans="1:19" x14ac:dyDescent="0.5">
      <c r="A41" s="7"/>
      <c r="B41" s="16" t="s">
        <v>68</v>
      </c>
      <c r="C41" s="62">
        <v>112092</v>
      </c>
      <c r="D41" s="62"/>
      <c r="E41" s="62">
        <v>242728</v>
      </c>
      <c r="F41" s="61">
        <f t="shared" si="5"/>
        <v>354820</v>
      </c>
      <c r="G41" s="62"/>
      <c r="H41" s="62"/>
      <c r="I41" s="62"/>
      <c r="J41" s="61">
        <f t="shared" si="6"/>
        <v>0</v>
      </c>
      <c r="K41" s="62"/>
      <c r="L41" s="62"/>
      <c r="M41" s="62"/>
      <c r="N41" s="61">
        <f t="shared" si="7"/>
        <v>0</v>
      </c>
      <c r="O41" s="62"/>
      <c r="P41" s="62">
        <v>0</v>
      </c>
      <c r="Q41" s="62"/>
      <c r="R41" s="61">
        <f t="shared" si="8"/>
        <v>0</v>
      </c>
      <c r="S41" s="15">
        <f t="shared" si="9"/>
        <v>354820</v>
      </c>
    </row>
    <row r="42" spans="1:19" x14ac:dyDescent="0.5">
      <c r="A42" s="7"/>
      <c r="B42" s="16" t="s">
        <v>69</v>
      </c>
      <c r="C42" s="62">
        <v>0</v>
      </c>
      <c r="D42" s="62"/>
      <c r="E42" s="62">
        <v>260000</v>
      </c>
      <c r="F42" s="61">
        <f t="shared" si="5"/>
        <v>260000</v>
      </c>
      <c r="G42" s="62">
        <v>2286000</v>
      </c>
      <c r="H42" s="62">
        <v>2973306</v>
      </c>
      <c r="I42" s="62">
        <v>3578306</v>
      </c>
      <c r="J42" s="61">
        <f t="shared" si="6"/>
        <v>8837612</v>
      </c>
      <c r="K42" s="62"/>
      <c r="L42" s="62"/>
      <c r="M42" s="62"/>
      <c r="N42" s="61">
        <f t="shared" si="7"/>
        <v>0</v>
      </c>
      <c r="O42" s="62"/>
      <c r="P42" s="62"/>
      <c r="Q42" s="62">
        <v>3594000</v>
      </c>
      <c r="R42" s="61">
        <f t="shared" si="8"/>
        <v>3594000</v>
      </c>
      <c r="S42" s="15">
        <f t="shared" si="9"/>
        <v>12691612</v>
      </c>
    </row>
    <row r="43" spans="1:19" x14ac:dyDescent="0.5">
      <c r="A43" s="7"/>
      <c r="B43" s="16" t="s">
        <v>70</v>
      </c>
      <c r="C43" s="62">
        <v>26000</v>
      </c>
      <c r="D43" s="62">
        <v>258347.37</v>
      </c>
      <c r="E43" s="62">
        <v>15946.19</v>
      </c>
      <c r="F43" s="61">
        <f t="shared" si="5"/>
        <v>300293.56</v>
      </c>
      <c r="G43" s="62">
        <v>14676.7</v>
      </c>
      <c r="H43" s="62">
        <v>43506.77</v>
      </c>
      <c r="I43" s="62">
        <v>4258176.24</v>
      </c>
      <c r="J43" s="61">
        <f t="shared" si="6"/>
        <v>4316359.71</v>
      </c>
      <c r="K43" s="62">
        <v>63248.65</v>
      </c>
      <c r="L43" s="62">
        <v>49009.440000000002</v>
      </c>
      <c r="M43" s="62"/>
      <c r="N43" s="61">
        <f t="shared" si="7"/>
        <v>112258.09</v>
      </c>
      <c r="O43" s="62"/>
      <c r="P43" s="62">
        <v>38866.89</v>
      </c>
      <c r="Q43" s="62">
        <v>38953.449999999997</v>
      </c>
      <c r="R43" s="61">
        <f t="shared" si="8"/>
        <v>77820.34</v>
      </c>
      <c r="S43" s="15">
        <f t="shared" si="9"/>
        <v>4806731.6999999993</v>
      </c>
    </row>
    <row r="44" spans="1:19" ht="22.5" thickBot="1" x14ac:dyDescent="0.55000000000000004">
      <c r="A44" s="60"/>
      <c r="B44" s="59" t="s">
        <v>81</v>
      </c>
      <c r="C44" s="58">
        <f>C8+C16+C26+C32+C39</f>
        <v>2210725.6800000002</v>
      </c>
      <c r="D44" s="58">
        <f>D8+D16+D26+D32+D39</f>
        <v>4336976.6000000006</v>
      </c>
      <c r="E44" s="58">
        <f>E8+E16+E26+E32+E39</f>
        <v>3127694.67</v>
      </c>
      <c r="F44" s="57">
        <f t="shared" si="5"/>
        <v>9675396.9500000011</v>
      </c>
      <c r="G44" s="58">
        <f>G8+G16+G26+G32+G39</f>
        <v>5584665.2999999998</v>
      </c>
      <c r="H44" s="58">
        <f>H8+H16+H26+H32+H39</f>
        <v>6157604.8799999999</v>
      </c>
      <c r="I44" s="58">
        <f>I8+I16+I26+I32+I39</f>
        <v>11613511.470000001</v>
      </c>
      <c r="J44" s="57">
        <f t="shared" si="6"/>
        <v>23355781.649999999</v>
      </c>
      <c r="K44" s="58">
        <f>K8+K16+K26+K32+K39</f>
        <v>2401425.5699999998</v>
      </c>
      <c r="L44" s="58">
        <f>L8+L16+L26+L32+L39</f>
        <v>2602368.2799999998</v>
      </c>
      <c r="M44" s="58">
        <f>M8+M16+M26+M32+M39</f>
        <v>3453233.46</v>
      </c>
      <c r="N44" s="57">
        <f t="shared" si="7"/>
        <v>8457027.3099999987</v>
      </c>
      <c r="O44" s="58">
        <f>O8+O16+O26+O32+O39</f>
        <v>1695821.2</v>
      </c>
      <c r="P44" s="58">
        <f>P8+P16+P26+P32+P39</f>
        <v>2885568.7900000005</v>
      </c>
      <c r="Q44" s="58">
        <f>Q8+Q16+Q26+Q32+Q39</f>
        <v>8114046.2299999995</v>
      </c>
      <c r="R44" s="57">
        <f t="shared" si="8"/>
        <v>12695436.219999999</v>
      </c>
      <c r="S44" s="56">
        <f t="shared" si="9"/>
        <v>54183642.129999995</v>
      </c>
    </row>
    <row r="45" spans="1:19" ht="22.5" thickTop="1" x14ac:dyDescent="0.5"/>
    <row r="46" spans="1:19" x14ac:dyDescent="0.5">
      <c r="B46" s="68" t="s">
        <v>107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</sheetData>
  <mergeCells count="9">
    <mergeCell ref="B30:B31"/>
    <mergeCell ref="C30:S30"/>
    <mergeCell ref="B46:S46"/>
    <mergeCell ref="B1:S1"/>
    <mergeCell ref="B2:S2"/>
    <mergeCell ref="B3:S3"/>
    <mergeCell ref="B4:S4"/>
    <mergeCell ref="B6:B7"/>
    <mergeCell ref="C6:S6"/>
  </mergeCells>
  <pageMargins left="0.19685039370078741" right="0.19685039370078741" top="0.19685039370078741" bottom="0.19685039370078741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รายได้</vt:lpstr>
      <vt:lpstr>รายจ่าย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Windows User</cp:lastModifiedBy>
  <cp:lastPrinted>2017-05-09T08:12:13Z</cp:lastPrinted>
  <dcterms:created xsi:type="dcterms:W3CDTF">2012-03-29T08:43:14Z</dcterms:created>
  <dcterms:modified xsi:type="dcterms:W3CDTF">2017-06-07T06:52:38Z</dcterms:modified>
</cp:coreProperties>
</file>